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<sst xmlns="http://schemas.openxmlformats.org/spreadsheetml/2006/main" count="364" uniqueCount="278">
  <si>
    <t xml:space="preserve">STATISTICHE DI SQUADRA </t>
  </si>
  <si>
    <t xml:space="preserve">GIORNATA </t>
  </si>
  <si>
    <t xml:space="preserve">PARTITA </t>
  </si>
  <si>
    <t>T 2</t>
  </si>
  <si>
    <t>% T2</t>
  </si>
  <si>
    <t>T3</t>
  </si>
  <si>
    <t>% T3</t>
  </si>
  <si>
    <t>TL</t>
  </si>
  <si>
    <t>% TL</t>
  </si>
  <si>
    <t>RIM. D.</t>
  </si>
  <si>
    <t>RIM. O</t>
  </si>
  <si>
    <t>PP</t>
  </si>
  <si>
    <t>RE</t>
  </si>
  <si>
    <t>STOP</t>
  </si>
  <si>
    <t>ASS</t>
  </si>
  <si>
    <t>FALLI</t>
  </si>
  <si>
    <t>VAL.</t>
  </si>
  <si>
    <t>miglior prestazione</t>
  </si>
  <si>
    <t>peggior prestazione</t>
  </si>
  <si>
    <t>maglia</t>
  </si>
  <si>
    <t>Giocatore</t>
  </si>
  <si>
    <t>Giocate</t>
  </si>
  <si>
    <t>Punti</t>
  </si>
  <si>
    <t>media p.</t>
  </si>
  <si>
    <t>Falli c</t>
  </si>
  <si>
    <t xml:space="preserve">media </t>
  </si>
  <si>
    <t>Falli s</t>
  </si>
  <si>
    <t>RD</t>
  </si>
  <si>
    <t>RO</t>
  </si>
  <si>
    <t>RT</t>
  </si>
  <si>
    <t>media</t>
  </si>
  <si>
    <t>Assist</t>
  </si>
  <si>
    <t>Benetti Fabrizio</t>
  </si>
  <si>
    <t>Branchini Mauro</t>
  </si>
  <si>
    <t>Fascetti Leon Lorenzo</t>
  </si>
  <si>
    <t>Matteuzzi Fabio</t>
  </si>
  <si>
    <t>tiri liberi</t>
  </si>
  <si>
    <t>%TL</t>
  </si>
  <si>
    <t>T2</t>
  </si>
  <si>
    <t xml:space="preserve">RE </t>
  </si>
  <si>
    <t>saldo RE- PP</t>
  </si>
  <si>
    <t>Val</t>
  </si>
  <si>
    <t>c        s</t>
  </si>
  <si>
    <t>Biondi Paolo</t>
  </si>
  <si>
    <t>Orlich Alessandro</t>
  </si>
  <si>
    <t>Guidotti Gianluca</t>
  </si>
  <si>
    <t>Rocco Giovanni</t>
  </si>
  <si>
    <t>Minuti</t>
  </si>
  <si>
    <t>St.d</t>
  </si>
  <si>
    <t>St.s</t>
  </si>
  <si>
    <t>Bergami Matteo</t>
  </si>
  <si>
    <t>TOTALE</t>
  </si>
  <si>
    <t>Francia Giacomo</t>
  </si>
  <si>
    <t>Vittuari Luca</t>
  </si>
  <si>
    <t>Galli Gabriele</t>
  </si>
  <si>
    <t>Brini Stefano</t>
  </si>
  <si>
    <t>Forni Stefano</t>
  </si>
  <si>
    <t>1C  73-63</t>
  </si>
  <si>
    <t>2T  69-58</t>
  </si>
  <si>
    <t>3T  86-75</t>
  </si>
  <si>
    <t>Upd Calderara</t>
  </si>
  <si>
    <t>Us Carpine</t>
  </si>
  <si>
    <t>Sport Insieme BO</t>
  </si>
  <si>
    <t>CSI Sasso Marconi</t>
  </si>
  <si>
    <t>Finale Emilia</t>
  </si>
  <si>
    <t>Libertas Alfa Promo</t>
  </si>
  <si>
    <t>Medolla</t>
  </si>
  <si>
    <t>Monte San Pietro</t>
  </si>
  <si>
    <t>Serena 80 BO</t>
  </si>
  <si>
    <t>Tema Basket BO</t>
  </si>
  <si>
    <t>Antal Pallavicini</t>
  </si>
  <si>
    <t>18su36</t>
  </si>
  <si>
    <t>7su17</t>
  </si>
  <si>
    <t>16su27</t>
  </si>
  <si>
    <t>3v1</t>
  </si>
  <si>
    <t>15-28</t>
  </si>
  <si>
    <t>19su40</t>
  </si>
  <si>
    <t>3su9</t>
  </si>
  <si>
    <t>22su40</t>
  </si>
  <si>
    <t>4v1</t>
  </si>
  <si>
    <t>27-31</t>
  </si>
  <si>
    <t>31su48</t>
  </si>
  <si>
    <t>1su11</t>
  </si>
  <si>
    <t>21su34</t>
  </si>
  <si>
    <t>14-26</t>
  </si>
  <si>
    <t>6su12</t>
  </si>
  <si>
    <t>0su0</t>
  </si>
  <si>
    <t>1su2</t>
  </si>
  <si>
    <t>2su4</t>
  </si>
  <si>
    <t>5su12</t>
  </si>
  <si>
    <t>1esp</t>
  </si>
  <si>
    <t>4C 80-41</t>
  </si>
  <si>
    <t>25su43</t>
  </si>
  <si>
    <t>5su15</t>
  </si>
  <si>
    <t>15su24</t>
  </si>
  <si>
    <t>1v0</t>
  </si>
  <si>
    <t>20-18</t>
  </si>
  <si>
    <t>5T 78-45</t>
  </si>
  <si>
    <t>6C 100-52</t>
  </si>
  <si>
    <t>24su43</t>
  </si>
  <si>
    <t>12su28</t>
  </si>
  <si>
    <t>20-21</t>
  </si>
  <si>
    <t>25su42</t>
  </si>
  <si>
    <t>11su23</t>
  </si>
  <si>
    <t>17su23</t>
  </si>
  <si>
    <t>2v2</t>
  </si>
  <si>
    <t>18-18</t>
  </si>
  <si>
    <t>Bagossi Mirco</t>
  </si>
  <si>
    <t>0su1</t>
  </si>
  <si>
    <t>1su1</t>
  </si>
  <si>
    <t>7T 79-54</t>
  </si>
  <si>
    <t>26su48</t>
  </si>
  <si>
    <t>3su12</t>
  </si>
  <si>
    <t>18su34</t>
  </si>
  <si>
    <t>3v0</t>
  </si>
  <si>
    <t>20-26</t>
  </si>
  <si>
    <t>8C 72-63</t>
  </si>
  <si>
    <t>16su41</t>
  </si>
  <si>
    <t>6su17</t>
  </si>
  <si>
    <t>22su31</t>
  </si>
  <si>
    <t>5v1</t>
  </si>
  <si>
    <t>24-26</t>
  </si>
  <si>
    <t>9C 72-60</t>
  </si>
  <si>
    <t>19su34</t>
  </si>
  <si>
    <t>19su39</t>
  </si>
  <si>
    <t>5su16</t>
  </si>
  <si>
    <t>1v3</t>
  </si>
  <si>
    <t>27-30</t>
  </si>
  <si>
    <t>10C 81-75</t>
  </si>
  <si>
    <t>29su41</t>
  </si>
  <si>
    <t>17su31</t>
  </si>
  <si>
    <t>6su20</t>
  </si>
  <si>
    <t>19-31</t>
  </si>
  <si>
    <t>2esp</t>
  </si>
  <si>
    <t>21su33</t>
  </si>
  <si>
    <t>11T 52-43</t>
  </si>
  <si>
    <t>12su39</t>
  </si>
  <si>
    <t>4su11</t>
  </si>
  <si>
    <t>16su30</t>
  </si>
  <si>
    <t>21-22</t>
  </si>
  <si>
    <t>12T  55-74</t>
  </si>
  <si>
    <t>15su33</t>
  </si>
  <si>
    <t>2su15</t>
  </si>
  <si>
    <t>19su31</t>
  </si>
  <si>
    <t>2v0</t>
  </si>
  <si>
    <t>27-24</t>
  </si>
  <si>
    <t>13C 64-55</t>
  </si>
  <si>
    <t>17su39</t>
  </si>
  <si>
    <t>3su11</t>
  </si>
  <si>
    <t>4v0</t>
  </si>
  <si>
    <t>15-21</t>
  </si>
  <si>
    <t>14C 66-59</t>
  </si>
  <si>
    <t>24su51</t>
  </si>
  <si>
    <t>4su15</t>
  </si>
  <si>
    <t>6su16</t>
  </si>
  <si>
    <t>1v1</t>
  </si>
  <si>
    <t>10v19</t>
  </si>
  <si>
    <t>2su12</t>
  </si>
  <si>
    <t>Mingarelli Davide</t>
  </si>
  <si>
    <t>15T 69-68</t>
  </si>
  <si>
    <t>1su15</t>
  </si>
  <si>
    <t>18su25</t>
  </si>
  <si>
    <t>24-24</t>
  </si>
  <si>
    <t>16C 73-58</t>
  </si>
  <si>
    <t>23su46</t>
  </si>
  <si>
    <t>4su13</t>
  </si>
  <si>
    <t>15su25</t>
  </si>
  <si>
    <t>17-20</t>
  </si>
  <si>
    <t>2v3</t>
  </si>
  <si>
    <t>17T 85-74dts</t>
  </si>
  <si>
    <t>23su47</t>
  </si>
  <si>
    <t>33su46</t>
  </si>
  <si>
    <t>4v3</t>
  </si>
  <si>
    <t>29-33</t>
  </si>
  <si>
    <t>18C 76-79</t>
  </si>
  <si>
    <t>25su46</t>
  </si>
  <si>
    <t>23su31</t>
  </si>
  <si>
    <t>2v1</t>
  </si>
  <si>
    <t>26-22</t>
  </si>
  <si>
    <t>19T 78-66</t>
  </si>
  <si>
    <t>22su41</t>
  </si>
  <si>
    <t>6su15</t>
  </si>
  <si>
    <t>20-20</t>
  </si>
  <si>
    <t>3su5</t>
  </si>
  <si>
    <t>0su2</t>
  </si>
  <si>
    <t>20T 67-69 dts</t>
  </si>
  <si>
    <t>17su36</t>
  </si>
  <si>
    <t>27su53</t>
  </si>
  <si>
    <t>31-35</t>
  </si>
  <si>
    <t>21T 67-58</t>
  </si>
  <si>
    <t>12su27</t>
  </si>
  <si>
    <t>8su21</t>
  </si>
  <si>
    <t>19su27</t>
  </si>
  <si>
    <t>19-23</t>
  </si>
  <si>
    <t>22C 63-51</t>
  </si>
  <si>
    <t>17su34</t>
  </si>
  <si>
    <t>3su17</t>
  </si>
  <si>
    <t>20su34</t>
  </si>
  <si>
    <t>23-25</t>
  </si>
  <si>
    <t>4su8</t>
  </si>
  <si>
    <t>5su7</t>
  </si>
  <si>
    <t>QDF C 77-62</t>
  </si>
  <si>
    <t>QDF T 83-76</t>
  </si>
  <si>
    <t>Ellepi Irnerio BO</t>
  </si>
  <si>
    <t>17su33</t>
  </si>
  <si>
    <t>26su45</t>
  </si>
  <si>
    <t>3su15</t>
  </si>
  <si>
    <t>22su34</t>
  </si>
  <si>
    <t>0v0</t>
  </si>
  <si>
    <t>27-27</t>
  </si>
  <si>
    <t>22-28</t>
  </si>
  <si>
    <t>2su5</t>
  </si>
  <si>
    <t>34su52</t>
  </si>
  <si>
    <t>Cestistica Argenta</t>
  </si>
  <si>
    <t>SEM C 69-56</t>
  </si>
  <si>
    <t>SEM T 63-56</t>
  </si>
  <si>
    <t>5su23</t>
  </si>
  <si>
    <t>16su25</t>
  </si>
  <si>
    <t>7v0</t>
  </si>
  <si>
    <t>24-20</t>
  </si>
  <si>
    <t>17su41</t>
  </si>
  <si>
    <t>8su14</t>
  </si>
  <si>
    <t>20-15</t>
  </si>
  <si>
    <t>Bellini Alessandro</t>
  </si>
  <si>
    <t xml:space="preserve">Stagni Mauro </t>
  </si>
  <si>
    <t>2su2</t>
  </si>
  <si>
    <t>40su76</t>
  </si>
  <si>
    <t>FIN C 77-50</t>
  </si>
  <si>
    <t>FIN C 68-49</t>
  </si>
  <si>
    <t>FIN T 54-63</t>
  </si>
  <si>
    <t>Pall. Granarolo</t>
  </si>
  <si>
    <t>14su37</t>
  </si>
  <si>
    <t>28su35</t>
  </si>
  <si>
    <t>24-30</t>
  </si>
  <si>
    <t>15su38</t>
  </si>
  <si>
    <t>17su44</t>
  </si>
  <si>
    <t>0su7</t>
  </si>
  <si>
    <t>20su28</t>
  </si>
  <si>
    <t>5v4</t>
  </si>
  <si>
    <t>25-24</t>
  </si>
  <si>
    <t>26su35</t>
  </si>
  <si>
    <t>21-20</t>
  </si>
  <si>
    <t>573 fatti</t>
  </si>
  <si>
    <t>su 1171</t>
  </si>
  <si>
    <t>2094 fatti media 72,21</t>
  </si>
  <si>
    <t>1752 subiti media 60,41</t>
  </si>
  <si>
    <t>126 fatti</t>
  </si>
  <si>
    <t>su 432</t>
  </si>
  <si>
    <t>566 fatti</t>
  </si>
  <si>
    <t>su 905</t>
  </si>
  <si>
    <t>83v36</t>
  </si>
  <si>
    <t>2,8v1,2</t>
  </si>
  <si>
    <t>21,6-24,1</t>
  </si>
  <si>
    <t>25su57</t>
  </si>
  <si>
    <t>1su7</t>
  </si>
  <si>
    <t>44su70</t>
  </si>
  <si>
    <t>28su88</t>
  </si>
  <si>
    <t>7su23</t>
  </si>
  <si>
    <t>95su166</t>
  </si>
  <si>
    <t>128su235</t>
  </si>
  <si>
    <t>62su95</t>
  </si>
  <si>
    <t>62su124</t>
  </si>
  <si>
    <t>23su94</t>
  </si>
  <si>
    <t>29su45</t>
  </si>
  <si>
    <t>48su141</t>
  </si>
  <si>
    <t>26su66</t>
  </si>
  <si>
    <t>6su8</t>
  </si>
  <si>
    <t>7su15</t>
  </si>
  <si>
    <t>56su67</t>
  </si>
  <si>
    <t>58su128</t>
  </si>
  <si>
    <t>27su55</t>
  </si>
  <si>
    <t>71su135</t>
  </si>
  <si>
    <t>59su124</t>
  </si>
  <si>
    <t>23su72</t>
  </si>
  <si>
    <t>117su168</t>
  </si>
  <si>
    <t>100su171</t>
  </si>
  <si>
    <t>4su21</t>
  </si>
  <si>
    <t>629-698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</si>
</sst>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[$-410]dddd\ d\ mmmm\ yyyy"/>
    <numFmt numFmtId="167" formatCode="h\.mm\.ss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" borderId="3" xfId="0" applyFont="1" applyFill="1" applyBorder="1" applyAlignment="1">
      <alignment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0" fontId="0" fillId="0" borderId="0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Fill="1" applyBorder="1" applyAlignment="1">
      <alignment/>
    </xf>
    <xf numFmtId="1" fontId="0" fillId="3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13</xdr:col>
      <xdr:colOff>381000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7010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7.8515625" style="0" customWidth="1"/>
    <col min="3" max="3" width="8.7109375" style="0" customWidth="1"/>
    <col min="4" max="4" width="7.28125" style="0" customWidth="1"/>
    <col min="5" max="5" width="8.00390625" style="0" customWidth="1"/>
    <col min="6" max="6" width="7.00390625" style="0" customWidth="1"/>
    <col min="7" max="7" width="8.00390625" style="0" customWidth="1"/>
    <col min="8" max="8" width="7.7109375" style="0" customWidth="1"/>
    <col min="9" max="9" width="7.421875" style="0" customWidth="1"/>
    <col min="10" max="10" width="6.7109375" style="0" customWidth="1"/>
    <col min="11" max="11" width="6.8515625" style="0" customWidth="1"/>
    <col min="12" max="12" width="7.421875" style="0" customWidth="1"/>
    <col min="13" max="14" width="6.8515625" style="0" customWidth="1"/>
    <col min="15" max="15" width="7.421875" style="0" customWidth="1"/>
    <col min="16" max="16" width="6.57421875" style="0" customWidth="1"/>
    <col min="17" max="17" width="4.8515625" style="0" customWidth="1"/>
    <col min="18" max="18" width="5.57421875" style="0" customWidth="1"/>
  </cols>
  <sheetData>
    <row r="1" spans="2:14" ht="12.75">
      <c r="B1" s="1"/>
      <c r="K1" s="2"/>
      <c r="M1" s="3"/>
      <c r="N1" s="2"/>
    </row>
    <row r="2" spans="11:14" ht="12.75">
      <c r="K2" s="2"/>
      <c r="M2" s="3"/>
      <c r="N2" s="2"/>
    </row>
    <row r="3" spans="11:14" ht="12.75">
      <c r="K3" s="2"/>
      <c r="M3" s="3"/>
      <c r="N3" s="2"/>
    </row>
    <row r="4" spans="11:14" ht="12.75">
      <c r="K4" s="2"/>
      <c r="M4" s="3"/>
      <c r="N4" s="2"/>
    </row>
    <row r="5" spans="11:14" ht="12.75">
      <c r="K5" s="2"/>
      <c r="M5" s="3"/>
      <c r="N5" s="2"/>
    </row>
    <row r="6" spans="11:14" ht="12.75">
      <c r="K6" s="2"/>
      <c r="M6" s="3"/>
      <c r="N6" s="2"/>
    </row>
    <row r="7" spans="11:14" ht="12.75">
      <c r="K7" s="2"/>
      <c r="M7" s="3"/>
      <c r="N7" s="2"/>
    </row>
    <row r="8" spans="11:14" ht="12.75">
      <c r="K8" s="2"/>
      <c r="M8" s="3"/>
      <c r="N8" s="2"/>
    </row>
    <row r="9" spans="1:14" ht="12.75">
      <c r="A9" s="4" t="s">
        <v>0</v>
      </c>
      <c r="B9" s="5"/>
      <c r="C9" s="6"/>
      <c r="K9" s="2"/>
      <c r="M9" s="3"/>
      <c r="N9" s="2"/>
    </row>
    <row r="10" spans="11:15" ht="12.75">
      <c r="K10" s="2"/>
      <c r="M10" s="3"/>
      <c r="N10" s="2"/>
      <c r="O10" s="27" t="s">
        <v>42</v>
      </c>
    </row>
    <row r="11" spans="1:16" ht="12.75">
      <c r="A11" s="46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8" t="s">
        <v>11</v>
      </c>
      <c r="L11" s="7" t="s">
        <v>12</v>
      </c>
      <c r="M11" s="9" t="s">
        <v>13</v>
      </c>
      <c r="N11" s="8" t="s">
        <v>14</v>
      </c>
      <c r="O11" s="7" t="s">
        <v>15</v>
      </c>
      <c r="P11" s="10" t="s">
        <v>16</v>
      </c>
    </row>
    <row r="12" spans="1:18" ht="12.75">
      <c r="A12" s="12" t="s">
        <v>57</v>
      </c>
      <c r="B12" s="12" t="s">
        <v>60</v>
      </c>
      <c r="C12" s="12" t="s">
        <v>71</v>
      </c>
      <c r="D12" s="13">
        <v>0.5</v>
      </c>
      <c r="E12" s="14" t="s">
        <v>72</v>
      </c>
      <c r="F12" s="13">
        <v>0.41</v>
      </c>
      <c r="G12" s="12" t="s">
        <v>73</v>
      </c>
      <c r="H12" s="13">
        <v>0.59</v>
      </c>
      <c r="I12" s="12">
        <v>23</v>
      </c>
      <c r="J12" s="60">
        <v>1</v>
      </c>
      <c r="K12" s="15">
        <v>22</v>
      </c>
      <c r="L12" s="12">
        <v>18</v>
      </c>
      <c r="M12" s="16" t="s">
        <v>74</v>
      </c>
      <c r="N12" s="15">
        <v>6</v>
      </c>
      <c r="O12" s="12" t="s">
        <v>75</v>
      </c>
      <c r="P12" s="12">
        <v>74</v>
      </c>
      <c r="Q12" s="1"/>
      <c r="R12" s="1"/>
    </row>
    <row r="13" spans="1:18" ht="12.75">
      <c r="A13" s="12" t="s">
        <v>58</v>
      </c>
      <c r="B13" s="12" t="s">
        <v>61</v>
      </c>
      <c r="C13" s="12" t="s">
        <v>76</v>
      </c>
      <c r="D13" s="13">
        <v>0.475</v>
      </c>
      <c r="E13" s="12" t="s">
        <v>77</v>
      </c>
      <c r="F13" s="13">
        <v>0.333</v>
      </c>
      <c r="G13" s="12" t="s">
        <v>78</v>
      </c>
      <c r="H13" s="13">
        <v>0.55</v>
      </c>
      <c r="I13" s="12">
        <v>22</v>
      </c>
      <c r="J13" s="12">
        <v>6</v>
      </c>
      <c r="K13" s="15">
        <v>12</v>
      </c>
      <c r="L13" s="12">
        <v>15</v>
      </c>
      <c r="M13" s="16" t="s">
        <v>79</v>
      </c>
      <c r="N13" s="15">
        <v>7</v>
      </c>
      <c r="O13" s="12" t="s">
        <v>80</v>
      </c>
      <c r="P13" s="12">
        <v>69</v>
      </c>
      <c r="Q13" s="1"/>
      <c r="R13" s="1"/>
    </row>
    <row r="14" spans="1:18" ht="12.75">
      <c r="A14" s="12" t="s">
        <v>59</v>
      </c>
      <c r="B14" s="12" t="s">
        <v>62</v>
      </c>
      <c r="C14" s="12" t="s">
        <v>81</v>
      </c>
      <c r="D14" s="56">
        <v>0.645</v>
      </c>
      <c r="E14" s="12" t="s">
        <v>82</v>
      </c>
      <c r="F14" s="13">
        <v>0.09</v>
      </c>
      <c r="G14" s="12" t="s">
        <v>83</v>
      </c>
      <c r="H14" s="13">
        <v>0.62</v>
      </c>
      <c r="I14" s="12">
        <v>22</v>
      </c>
      <c r="J14" s="58">
        <v>15</v>
      </c>
      <c r="K14" s="61">
        <v>28</v>
      </c>
      <c r="L14" s="12">
        <v>19</v>
      </c>
      <c r="M14" s="16" t="s">
        <v>74</v>
      </c>
      <c r="N14" s="15">
        <v>7</v>
      </c>
      <c r="O14" s="12" t="s">
        <v>84</v>
      </c>
      <c r="P14" s="21">
        <v>95</v>
      </c>
      <c r="Q14" s="1"/>
      <c r="R14" s="1"/>
    </row>
    <row r="15" spans="1:18" ht="12.75">
      <c r="A15" s="12" t="s">
        <v>91</v>
      </c>
      <c r="B15" s="17" t="s">
        <v>64</v>
      </c>
      <c r="C15" s="12" t="s">
        <v>92</v>
      </c>
      <c r="D15" s="13">
        <v>0.58</v>
      </c>
      <c r="E15" s="12" t="s">
        <v>93</v>
      </c>
      <c r="F15" s="13">
        <v>0.333</v>
      </c>
      <c r="G15" s="12" t="s">
        <v>94</v>
      </c>
      <c r="H15" s="13">
        <v>0.625</v>
      </c>
      <c r="I15" s="12">
        <v>29</v>
      </c>
      <c r="J15" s="12">
        <v>6</v>
      </c>
      <c r="K15" s="15">
        <v>16</v>
      </c>
      <c r="L15" s="12">
        <v>22</v>
      </c>
      <c r="M15" s="16" t="s">
        <v>95</v>
      </c>
      <c r="N15" s="15">
        <v>7</v>
      </c>
      <c r="O15" s="17" t="s">
        <v>96</v>
      </c>
      <c r="P15" s="17">
        <v>90</v>
      </c>
      <c r="Q15" s="1"/>
      <c r="R15" s="1"/>
    </row>
    <row r="16" spans="1:18" ht="12.75">
      <c r="A16" s="12" t="s">
        <v>97</v>
      </c>
      <c r="B16" s="17" t="s">
        <v>63</v>
      </c>
      <c r="C16" s="17" t="s">
        <v>99</v>
      </c>
      <c r="D16" s="13">
        <v>0.558</v>
      </c>
      <c r="E16" s="17" t="s">
        <v>85</v>
      </c>
      <c r="F16" s="56">
        <v>0.5</v>
      </c>
      <c r="G16" s="17" t="s">
        <v>100</v>
      </c>
      <c r="H16" s="13">
        <v>0.428</v>
      </c>
      <c r="I16" s="17">
        <v>26</v>
      </c>
      <c r="J16" s="17">
        <v>7</v>
      </c>
      <c r="K16" s="18">
        <v>12</v>
      </c>
      <c r="L16" s="17">
        <v>17</v>
      </c>
      <c r="M16" s="19" t="s">
        <v>79</v>
      </c>
      <c r="N16" s="18">
        <v>5</v>
      </c>
      <c r="O16" s="17" t="s">
        <v>101</v>
      </c>
      <c r="P16" s="12">
        <v>84</v>
      </c>
      <c r="Q16" s="1"/>
      <c r="R16" s="1"/>
    </row>
    <row r="17" spans="1:18" ht="12.75">
      <c r="A17" s="12" t="s">
        <v>98</v>
      </c>
      <c r="B17" s="17" t="s">
        <v>65</v>
      </c>
      <c r="C17" s="17" t="s">
        <v>102</v>
      </c>
      <c r="D17" s="13">
        <v>0.595</v>
      </c>
      <c r="E17" s="17" t="s">
        <v>103</v>
      </c>
      <c r="F17" s="13">
        <v>0.478</v>
      </c>
      <c r="G17" s="17" t="s">
        <v>104</v>
      </c>
      <c r="H17" s="13">
        <v>0.739</v>
      </c>
      <c r="I17" s="17">
        <v>30</v>
      </c>
      <c r="J17" s="17">
        <v>8</v>
      </c>
      <c r="K17" s="18">
        <v>11</v>
      </c>
      <c r="L17" s="17">
        <v>16</v>
      </c>
      <c r="M17" s="19" t="s">
        <v>105</v>
      </c>
      <c r="N17" s="18">
        <v>6</v>
      </c>
      <c r="O17" s="49" t="s">
        <v>106</v>
      </c>
      <c r="P17" s="57">
        <v>114</v>
      </c>
      <c r="Q17" s="1"/>
      <c r="R17" s="1"/>
    </row>
    <row r="18" spans="1:18" ht="12.75">
      <c r="A18" s="12" t="s">
        <v>110</v>
      </c>
      <c r="B18" s="17" t="s">
        <v>66</v>
      </c>
      <c r="C18" s="17" t="s">
        <v>111</v>
      </c>
      <c r="D18" s="13">
        <f>26/48</f>
        <v>0.5416666666666666</v>
      </c>
      <c r="E18" s="17" t="s">
        <v>112</v>
      </c>
      <c r="F18" s="13">
        <f>3/12</f>
        <v>0.25</v>
      </c>
      <c r="G18" s="17" t="s">
        <v>113</v>
      </c>
      <c r="H18" s="13">
        <f>18/34</f>
        <v>0.5294117647058824</v>
      </c>
      <c r="I18" s="20">
        <v>21</v>
      </c>
      <c r="J18" s="17">
        <v>10</v>
      </c>
      <c r="K18" s="18">
        <v>23</v>
      </c>
      <c r="L18" s="58">
        <v>23</v>
      </c>
      <c r="M18" s="19" t="s">
        <v>114</v>
      </c>
      <c r="N18" s="65">
        <v>9</v>
      </c>
      <c r="O18" s="17" t="s">
        <v>115</v>
      </c>
      <c r="P18" s="12">
        <v>81</v>
      </c>
      <c r="Q18" s="1"/>
      <c r="R18" s="1"/>
    </row>
    <row r="19" spans="1:18" ht="12.75">
      <c r="A19" s="12" t="s">
        <v>116</v>
      </c>
      <c r="B19" s="17" t="s">
        <v>67</v>
      </c>
      <c r="C19" s="17" t="s">
        <v>117</v>
      </c>
      <c r="D19" s="13">
        <f>16/41</f>
        <v>0.3902439024390244</v>
      </c>
      <c r="E19" s="17" t="s">
        <v>118</v>
      </c>
      <c r="F19" s="13">
        <f>6/17</f>
        <v>0.35294117647058826</v>
      </c>
      <c r="G19" s="17" t="s">
        <v>119</v>
      </c>
      <c r="H19" s="13">
        <f>22/31</f>
        <v>0.7096774193548387</v>
      </c>
      <c r="I19" s="17">
        <v>21</v>
      </c>
      <c r="J19" s="17">
        <v>4</v>
      </c>
      <c r="K19" s="18">
        <v>14</v>
      </c>
      <c r="L19" s="17">
        <v>19</v>
      </c>
      <c r="M19" s="19" t="s">
        <v>120</v>
      </c>
      <c r="N19" s="18">
        <v>5</v>
      </c>
      <c r="O19" s="20" t="s">
        <v>121</v>
      </c>
      <c r="P19" s="12">
        <v>68</v>
      </c>
      <c r="Q19" s="1"/>
      <c r="R19" s="1"/>
    </row>
    <row r="20" spans="1:18" ht="12.75">
      <c r="A20" s="12" t="s">
        <v>122</v>
      </c>
      <c r="B20" s="17" t="s">
        <v>68</v>
      </c>
      <c r="C20" s="17" t="s">
        <v>124</v>
      </c>
      <c r="D20" s="13">
        <f>19/39</f>
        <v>0.48717948717948717</v>
      </c>
      <c r="E20" s="12" t="s">
        <v>125</v>
      </c>
      <c r="F20" s="13">
        <f>5/16</f>
        <v>0.3125</v>
      </c>
      <c r="G20" s="12" t="s">
        <v>123</v>
      </c>
      <c r="H20" s="13">
        <f>19/34</f>
        <v>0.5588235294117647</v>
      </c>
      <c r="I20" s="12">
        <v>29</v>
      </c>
      <c r="J20" s="12">
        <v>9</v>
      </c>
      <c r="K20" s="15">
        <v>17</v>
      </c>
      <c r="L20" s="12">
        <v>18</v>
      </c>
      <c r="M20" s="64" t="s">
        <v>126</v>
      </c>
      <c r="N20" s="15">
        <v>5</v>
      </c>
      <c r="O20" s="21" t="s">
        <v>127</v>
      </c>
      <c r="P20" s="12">
        <v>71</v>
      </c>
      <c r="Q20" s="1"/>
      <c r="R20" s="1"/>
    </row>
    <row r="21" spans="1:18" ht="12.75">
      <c r="A21" s="12" t="s">
        <v>128</v>
      </c>
      <c r="B21" s="12" t="s">
        <v>69</v>
      </c>
      <c r="C21" s="17" t="s">
        <v>130</v>
      </c>
      <c r="D21" s="13">
        <f>17/31</f>
        <v>0.5483870967741935</v>
      </c>
      <c r="E21" s="12" t="s">
        <v>131</v>
      </c>
      <c r="F21" s="13">
        <f>6/20</f>
        <v>0.3</v>
      </c>
      <c r="G21" s="12" t="s">
        <v>129</v>
      </c>
      <c r="H21" s="13">
        <f>29/41</f>
        <v>0.7073170731707317</v>
      </c>
      <c r="I21" s="12">
        <v>20</v>
      </c>
      <c r="J21" s="12">
        <v>6</v>
      </c>
      <c r="K21" s="41">
        <v>11</v>
      </c>
      <c r="L21" s="12">
        <v>14</v>
      </c>
      <c r="M21" s="16" t="s">
        <v>95</v>
      </c>
      <c r="N21" s="61">
        <v>2</v>
      </c>
      <c r="O21" s="12" t="s">
        <v>132</v>
      </c>
      <c r="P21" s="12">
        <v>85</v>
      </c>
      <c r="Q21" s="1"/>
      <c r="R21" s="1"/>
    </row>
    <row r="22" spans="1:18" ht="12.75">
      <c r="A22" s="12" t="s">
        <v>135</v>
      </c>
      <c r="B22" s="12" t="s">
        <v>70</v>
      </c>
      <c r="C22" s="17" t="s">
        <v>136</v>
      </c>
      <c r="D22" s="62">
        <f>12/39</f>
        <v>0.3076923076923077</v>
      </c>
      <c r="E22" s="12" t="s">
        <v>137</v>
      </c>
      <c r="F22" s="13">
        <f>4/11</f>
        <v>0.36363636363636365</v>
      </c>
      <c r="G22" s="12" t="s">
        <v>138</v>
      </c>
      <c r="H22" s="13">
        <f>16/30</f>
        <v>0.5333333333333333</v>
      </c>
      <c r="I22" s="12">
        <v>25</v>
      </c>
      <c r="J22" s="12">
        <v>3</v>
      </c>
      <c r="K22" s="15">
        <v>14</v>
      </c>
      <c r="L22" s="12">
        <v>14</v>
      </c>
      <c r="M22" s="16" t="s">
        <v>120</v>
      </c>
      <c r="N22" s="15">
        <v>4</v>
      </c>
      <c r="O22" s="12" t="s">
        <v>139</v>
      </c>
      <c r="P22" s="12">
        <v>41</v>
      </c>
      <c r="Q22" s="1"/>
      <c r="R22" s="1"/>
    </row>
    <row r="23" spans="1:18" ht="12.75">
      <c r="A23" s="12" t="s">
        <v>140</v>
      </c>
      <c r="B23" s="12" t="s">
        <v>60</v>
      </c>
      <c r="C23" s="17" t="s">
        <v>141</v>
      </c>
      <c r="D23" s="13">
        <f>15/33</f>
        <v>0.45454545454545453</v>
      </c>
      <c r="E23" s="12" t="s">
        <v>142</v>
      </c>
      <c r="F23" s="13">
        <f>2/15</f>
        <v>0.13333333333333333</v>
      </c>
      <c r="G23" s="12" t="s">
        <v>143</v>
      </c>
      <c r="H23" s="13">
        <f>19/31</f>
        <v>0.6129032258064516</v>
      </c>
      <c r="I23" s="60">
        <v>15</v>
      </c>
      <c r="J23" s="12">
        <v>2</v>
      </c>
      <c r="K23" s="15">
        <v>10</v>
      </c>
      <c r="L23" s="12">
        <v>12</v>
      </c>
      <c r="M23" s="16" t="s">
        <v>144</v>
      </c>
      <c r="N23" s="15">
        <v>6</v>
      </c>
      <c r="O23" s="21" t="s">
        <v>145</v>
      </c>
      <c r="P23" s="60">
        <v>36</v>
      </c>
      <c r="Q23" s="1"/>
      <c r="R23" s="1"/>
    </row>
    <row r="24" spans="1:18" ht="12.75">
      <c r="A24" s="12" t="s">
        <v>146</v>
      </c>
      <c r="B24" s="12" t="s">
        <v>61</v>
      </c>
      <c r="C24" s="17" t="s">
        <v>147</v>
      </c>
      <c r="D24" s="13">
        <f>17/39</f>
        <v>0.4358974358974359</v>
      </c>
      <c r="E24" s="12" t="s">
        <v>148</v>
      </c>
      <c r="F24" s="13">
        <f>3/11</f>
        <v>0.2727272727272727</v>
      </c>
      <c r="G24" s="12" t="s">
        <v>134</v>
      </c>
      <c r="H24" s="13">
        <f>21/33</f>
        <v>0.6363636363636364</v>
      </c>
      <c r="I24" s="12">
        <v>20</v>
      </c>
      <c r="J24" s="12">
        <v>6</v>
      </c>
      <c r="K24" s="15">
        <v>11</v>
      </c>
      <c r="L24" s="12">
        <v>14</v>
      </c>
      <c r="M24" s="16" t="s">
        <v>149</v>
      </c>
      <c r="N24" s="15">
        <v>5</v>
      </c>
      <c r="O24" s="12" t="s">
        <v>150</v>
      </c>
      <c r="P24" s="12">
        <v>66</v>
      </c>
      <c r="Q24" s="1"/>
      <c r="R24" s="1"/>
    </row>
    <row r="25" spans="1:18" ht="12.75">
      <c r="A25" s="12" t="s">
        <v>151</v>
      </c>
      <c r="B25" s="12" t="s">
        <v>62</v>
      </c>
      <c r="C25" s="12" t="s">
        <v>152</v>
      </c>
      <c r="D25" s="13">
        <f>24/51</f>
        <v>0.47058823529411764</v>
      </c>
      <c r="E25" s="12" t="s">
        <v>153</v>
      </c>
      <c r="F25" s="13">
        <f>4/15</f>
        <v>0.26666666666666666</v>
      </c>
      <c r="G25" s="12" t="s">
        <v>154</v>
      </c>
      <c r="H25" s="62">
        <f>6/16</f>
        <v>0.375</v>
      </c>
      <c r="I25" s="12">
        <v>29</v>
      </c>
      <c r="J25" s="12">
        <v>11</v>
      </c>
      <c r="K25" s="15">
        <v>18</v>
      </c>
      <c r="L25" s="12">
        <v>12</v>
      </c>
      <c r="M25" s="16" t="s">
        <v>155</v>
      </c>
      <c r="N25" s="15">
        <v>7</v>
      </c>
      <c r="O25" s="14" t="s">
        <v>156</v>
      </c>
      <c r="P25" s="12">
        <v>68</v>
      </c>
      <c r="Q25" s="1"/>
      <c r="R25" s="1"/>
    </row>
    <row r="26" spans="1:18" ht="12.75">
      <c r="A26" s="12" t="s">
        <v>159</v>
      </c>
      <c r="B26" s="17" t="s">
        <v>64</v>
      </c>
      <c r="C26" s="17" t="s">
        <v>99</v>
      </c>
      <c r="D26" s="13">
        <f>24/43</f>
        <v>0.5581395348837209</v>
      </c>
      <c r="E26" s="12" t="s">
        <v>160</v>
      </c>
      <c r="F26" s="13">
        <f>1/15</f>
        <v>0.06666666666666667</v>
      </c>
      <c r="G26" s="12" t="s">
        <v>161</v>
      </c>
      <c r="H26" s="13">
        <f>18/25</f>
        <v>0.72</v>
      </c>
      <c r="I26" s="12">
        <v>23</v>
      </c>
      <c r="J26" s="12">
        <v>8</v>
      </c>
      <c r="K26" s="15">
        <v>11</v>
      </c>
      <c r="L26" s="12">
        <v>11</v>
      </c>
      <c r="M26" s="16" t="s">
        <v>79</v>
      </c>
      <c r="N26" s="59">
        <v>10</v>
      </c>
      <c r="O26" s="12" t="s">
        <v>162</v>
      </c>
      <c r="P26" s="12">
        <v>73</v>
      </c>
      <c r="Q26" s="1"/>
      <c r="R26" s="1"/>
    </row>
    <row r="27" spans="1:18" ht="12.75">
      <c r="A27" s="12" t="s">
        <v>163</v>
      </c>
      <c r="B27" s="17" t="s">
        <v>63</v>
      </c>
      <c r="C27" s="17" t="s">
        <v>164</v>
      </c>
      <c r="D27" s="13">
        <f>23/46</f>
        <v>0.5</v>
      </c>
      <c r="E27" s="12" t="s">
        <v>165</v>
      </c>
      <c r="F27" s="13">
        <f>4/13</f>
        <v>0.3076923076923077</v>
      </c>
      <c r="G27" s="12" t="s">
        <v>166</v>
      </c>
      <c r="H27" s="13">
        <f>15/25</f>
        <v>0.6</v>
      </c>
      <c r="I27" s="57">
        <v>31</v>
      </c>
      <c r="J27" s="12">
        <v>5</v>
      </c>
      <c r="K27" s="15">
        <v>10</v>
      </c>
      <c r="L27" s="12">
        <v>13</v>
      </c>
      <c r="M27" s="16" t="s">
        <v>168</v>
      </c>
      <c r="N27" s="15">
        <v>5</v>
      </c>
      <c r="O27" s="12" t="s">
        <v>167</v>
      </c>
      <c r="P27" s="12">
        <v>77</v>
      </c>
      <c r="Q27" s="1"/>
      <c r="R27" s="1"/>
    </row>
    <row r="28" spans="1:18" ht="12.75">
      <c r="A28" s="69" t="s">
        <v>169</v>
      </c>
      <c r="B28" s="17" t="s">
        <v>65</v>
      </c>
      <c r="C28" s="12" t="s">
        <v>170</v>
      </c>
      <c r="D28" s="13">
        <f>23/47</f>
        <v>0.48936170212765956</v>
      </c>
      <c r="E28" s="12" t="s">
        <v>157</v>
      </c>
      <c r="F28" s="13">
        <f>2/12</f>
        <v>0.16666666666666666</v>
      </c>
      <c r="G28" s="12" t="s">
        <v>171</v>
      </c>
      <c r="H28" s="13">
        <f>33/46</f>
        <v>0.717391304347826</v>
      </c>
      <c r="I28" s="12">
        <v>28</v>
      </c>
      <c r="J28" s="12">
        <v>9</v>
      </c>
      <c r="K28" s="15">
        <v>12</v>
      </c>
      <c r="L28" s="12">
        <v>15</v>
      </c>
      <c r="M28" s="16" t="s">
        <v>172</v>
      </c>
      <c r="N28" s="15">
        <v>8</v>
      </c>
      <c r="O28" s="50" t="s">
        <v>173</v>
      </c>
      <c r="P28" s="12">
        <v>91</v>
      </c>
      <c r="Q28" s="1"/>
      <c r="R28" s="1"/>
    </row>
    <row r="29" spans="1:18" ht="12.75">
      <c r="A29" s="12" t="s">
        <v>174</v>
      </c>
      <c r="B29" s="17" t="s">
        <v>66</v>
      </c>
      <c r="C29" s="12" t="s">
        <v>175</v>
      </c>
      <c r="D29" s="13">
        <f>25/46</f>
        <v>0.5434782608695652</v>
      </c>
      <c r="E29" s="12" t="s">
        <v>82</v>
      </c>
      <c r="F29" s="13">
        <f>1/11</f>
        <v>0.09090909090909091</v>
      </c>
      <c r="G29" s="12" t="s">
        <v>176</v>
      </c>
      <c r="H29" s="13">
        <f>23/31</f>
        <v>0.7419354838709677</v>
      </c>
      <c r="I29" s="12">
        <v>20</v>
      </c>
      <c r="J29" s="12">
        <v>5</v>
      </c>
      <c r="K29" s="15">
        <v>16</v>
      </c>
      <c r="L29" s="12">
        <v>10</v>
      </c>
      <c r="M29" s="16" t="s">
        <v>177</v>
      </c>
      <c r="N29" s="15">
        <v>7</v>
      </c>
      <c r="O29" s="12" t="s">
        <v>178</v>
      </c>
      <c r="P29" s="12">
        <v>62</v>
      </c>
      <c r="Q29" s="1"/>
      <c r="R29" s="1"/>
    </row>
    <row r="30" spans="1:18" ht="12.75">
      <c r="A30" s="17" t="s">
        <v>179</v>
      </c>
      <c r="B30" s="17" t="s">
        <v>67</v>
      </c>
      <c r="C30" s="17" t="s">
        <v>180</v>
      </c>
      <c r="D30" s="22">
        <f>22/41</f>
        <v>0.5365853658536586</v>
      </c>
      <c r="E30" s="17" t="s">
        <v>181</v>
      </c>
      <c r="F30" s="22">
        <f>6/15</f>
        <v>0.4</v>
      </c>
      <c r="G30" s="17" t="s">
        <v>73</v>
      </c>
      <c r="H30" s="22">
        <f>16/27</f>
        <v>0.5925925925925926</v>
      </c>
      <c r="I30" s="17">
        <v>23</v>
      </c>
      <c r="J30" s="17">
        <v>3</v>
      </c>
      <c r="K30" s="18">
        <v>16</v>
      </c>
      <c r="L30" s="17">
        <v>19</v>
      </c>
      <c r="M30" s="19" t="s">
        <v>177</v>
      </c>
      <c r="N30" s="18">
        <v>4</v>
      </c>
      <c r="O30" s="17" t="s">
        <v>182</v>
      </c>
      <c r="P30" s="12">
        <v>73</v>
      </c>
      <c r="Q30" s="1"/>
      <c r="R30" s="1"/>
    </row>
    <row r="31" spans="1:18" ht="12.75">
      <c r="A31" s="70" t="s">
        <v>185</v>
      </c>
      <c r="B31" s="17" t="s">
        <v>68</v>
      </c>
      <c r="C31" s="17" t="s">
        <v>186</v>
      </c>
      <c r="D31" s="22">
        <f>17/36</f>
        <v>0.4722222222222222</v>
      </c>
      <c r="E31" s="17" t="s">
        <v>142</v>
      </c>
      <c r="F31" s="22">
        <f>2/15</f>
        <v>0.13333333333333333</v>
      </c>
      <c r="G31" s="17" t="s">
        <v>187</v>
      </c>
      <c r="H31" s="22">
        <f>27/53</f>
        <v>0.5094339622641509</v>
      </c>
      <c r="I31" s="17">
        <v>27</v>
      </c>
      <c r="J31" s="17">
        <v>10</v>
      </c>
      <c r="K31" s="18">
        <v>21</v>
      </c>
      <c r="L31" s="17">
        <v>14</v>
      </c>
      <c r="M31" s="19" t="s">
        <v>177</v>
      </c>
      <c r="N31" s="18">
        <v>3</v>
      </c>
      <c r="O31" s="17" t="s">
        <v>188</v>
      </c>
      <c r="P31" s="12">
        <v>47</v>
      </c>
      <c r="Q31" s="1"/>
      <c r="R31" s="1"/>
    </row>
    <row r="32" spans="1:18" ht="12.75">
      <c r="A32" s="17" t="s">
        <v>189</v>
      </c>
      <c r="B32" s="12" t="s">
        <v>69</v>
      </c>
      <c r="C32" s="17" t="s">
        <v>190</v>
      </c>
      <c r="D32" s="22">
        <f>12/27</f>
        <v>0.4444444444444444</v>
      </c>
      <c r="E32" s="17" t="s">
        <v>191</v>
      </c>
      <c r="F32" s="22">
        <f>8/21</f>
        <v>0.38095238095238093</v>
      </c>
      <c r="G32" s="17" t="s">
        <v>192</v>
      </c>
      <c r="H32" s="22">
        <f>19/27</f>
        <v>0.7037037037037037</v>
      </c>
      <c r="I32" s="17">
        <v>27</v>
      </c>
      <c r="J32" s="17">
        <v>4</v>
      </c>
      <c r="K32" s="18">
        <v>15</v>
      </c>
      <c r="L32" s="17">
        <v>11</v>
      </c>
      <c r="M32" s="19" t="s">
        <v>74</v>
      </c>
      <c r="N32" s="18">
        <v>3</v>
      </c>
      <c r="O32" s="17" t="s">
        <v>193</v>
      </c>
      <c r="P32" s="12">
        <v>67</v>
      </c>
      <c r="Q32" s="1"/>
      <c r="R32" s="1"/>
    </row>
    <row r="33" spans="1:18" ht="12.75">
      <c r="A33" s="17" t="s">
        <v>194</v>
      </c>
      <c r="B33" s="12" t="s">
        <v>70</v>
      </c>
      <c r="C33" s="17" t="s">
        <v>195</v>
      </c>
      <c r="D33" s="22">
        <f>17/34</f>
        <v>0.5</v>
      </c>
      <c r="E33" s="17" t="s">
        <v>196</v>
      </c>
      <c r="F33" s="22">
        <f>3/17</f>
        <v>0.17647058823529413</v>
      </c>
      <c r="G33" s="17" t="s">
        <v>197</v>
      </c>
      <c r="H33" s="22">
        <f>20/34</f>
        <v>0.5882352941176471</v>
      </c>
      <c r="I33" s="17">
        <v>28</v>
      </c>
      <c r="J33" s="17">
        <v>11</v>
      </c>
      <c r="K33" s="18">
        <v>17</v>
      </c>
      <c r="L33" s="71">
        <v>9</v>
      </c>
      <c r="M33" s="19" t="s">
        <v>168</v>
      </c>
      <c r="N33" s="18">
        <v>9</v>
      </c>
      <c r="O33" s="17" t="s">
        <v>198</v>
      </c>
      <c r="P33" s="12">
        <v>59</v>
      </c>
      <c r="Q33" s="1"/>
      <c r="R33" s="1"/>
    </row>
    <row r="34" spans="1:18" ht="12.75">
      <c r="A34" s="17"/>
      <c r="B34" s="17"/>
      <c r="C34" s="17"/>
      <c r="D34" s="22"/>
      <c r="E34" s="17"/>
      <c r="F34" s="22"/>
      <c r="G34" s="17"/>
      <c r="H34" s="35"/>
      <c r="I34" s="17"/>
      <c r="J34" s="17"/>
      <c r="K34" s="18"/>
      <c r="L34" s="17"/>
      <c r="M34" s="19"/>
      <c r="N34" s="18"/>
      <c r="O34" s="17"/>
      <c r="P34" s="12"/>
      <c r="Q34" s="1"/>
      <c r="R34" s="1"/>
    </row>
    <row r="35" spans="1:18" ht="12.75">
      <c r="A35" s="70" t="s">
        <v>201</v>
      </c>
      <c r="B35" s="17" t="s">
        <v>203</v>
      </c>
      <c r="C35" s="17" t="s">
        <v>204</v>
      </c>
      <c r="D35" s="22">
        <f>17/33</f>
        <v>0.5151515151515151</v>
      </c>
      <c r="E35" s="17" t="s">
        <v>72</v>
      </c>
      <c r="F35" s="22">
        <f>7/17</f>
        <v>0.4117647058823529</v>
      </c>
      <c r="G35" s="17" t="s">
        <v>207</v>
      </c>
      <c r="H35" s="35">
        <f>22/34</f>
        <v>0.6470588235294118</v>
      </c>
      <c r="I35" s="17">
        <v>24</v>
      </c>
      <c r="J35" s="17">
        <v>6</v>
      </c>
      <c r="K35" s="18">
        <v>12</v>
      </c>
      <c r="L35" s="71">
        <v>9</v>
      </c>
      <c r="M35" s="19" t="s">
        <v>105</v>
      </c>
      <c r="N35" s="18">
        <v>8</v>
      </c>
      <c r="O35" s="17" t="s">
        <v>209</v>
      </c>
      <c r="P35" s="12">
        <v>74</v>
      </c>
      <c r="Q35" s="1"/>
      <c r="R35" s="1"/>
    </row>
    <row r="36" spans="1:18" ht="12.75">
      <c r="A36" s="70" t="s">
        <v>202</v>
      </c>
      <c r="B36" s="17" t="s">
        <v>203</v>
      </c>
      <c r="C36" s="17" t="s">
        <v>205</v>
      </c>
      <c r="D36" s="22">
        <f>26/45</f>
        <v>0.5777777777777777</v>
      </c>
      <c r="E36" s="17" t="s">
        <v>206</v>
      </c>
      <c r="F36" s="22">
        <f>3/15</f>
        <v>0.2</v>
      </c>
      <c r="G36" s="17" t="s">
        <v>78</v>
      </c>
      <c r="H36" s="35">
        <f>22/40</f>
        <v>0.55</v>
      </c>
      <c r="I36" s="17">
        <v>26</v>
      </c>
      <c r="J36" s="17">
        <v>8</v>
      </c>
      <c r="K36" s="18">
        <v>17</v>
      </c>
      <c r="L36" s="17">
        <v>13</v>
      </c>
      <c r="M36" s="19" t="s">
        <v>208</v>
      </c>
      <c r="N36" s="18">
        <v>8</v>
      </c>
      <c r="O36" s="17" t="s">
        <v>210</v>
      </c>
      <c r="P36" s="12">
        <v>78</v>
      </c>
      <c r="Q36" s="1"/>
      <c r="R36" s="1"/>
    </row>
    <row r="37" spans="1:18" ht="12.75">
      <c r="A37" s="70" t="s">
        <v>214</v>
      </c>
      <c r="B37" s="17" t="s">
        <v>213</v>
      </c>
      <c r="C37" s="17" t="s">
        <v>76</v>
      </c>
      <c r="D37" s="22">
        <f>19/40</f>
        <v>0.475</v>
      </c>
      <c r="E37" s="17" t="s">
        <v>216</v>
      </c>
      <c r="F37" s="22">
        <f>5/23</f>
        <v>0.21739130434782608</v>
      </c>
      <c r="G37" s="17" t="s">
        <v>217</v>
      </c>
      <c r="H37" s="22">
        <f>16/25</f>
        <v>0.64</v>
      </c>
      <c r="I37" s="17">
        <v>22</v>
      </c>
      <c r="J37" s="17">
        <v>10</v>
      </c>
      <c r="K37" s="75">
        <v>9</v>
      </c>
      <c r="L37" s="17">
        <v>13</v>
      </c>
      <c r="M37" s="63" t="s">
        <v>218</v>
      </c>
      <c r="N37" s="18">
        <v>5</v>
      </c>
      <c r="O37" s="17" t="s">
        <v>219</v>
      </c>
      <c r="P37" s="12">
        <v>65</v>
      </c>
      <c r="Q37" s="1"/>
      <c r="R37" s="1"/>
    </row>
    <row r="38" spans="1:18" ht="12.75">
      <c r="A38" s="69" t="s">
        <v>215</v>
      </c>
      <c r="B38" s="17" t="s">
        <v>213</v>
      </c>
      <c r="C38" s="12" t="s">
        <v>220</v>
      </c>
      <c r="D38" s="55">
        <f>17/41</f>
        <v>0.4146341463414634</v>
      </c>
      <c r="E38" s="12" t="s">
        <v>72</v>
      </c>
      <c r="F38" s="13">
        <f>7/17</f>
        <v>0.4117647058823529</v>
      </c>
      <c r="G38" s="12" t="s">
        <v>221</v>
      </c>
      <c r="H38" s="13">
        <f>8/14</f>
        <v>0.5714285714285714</v>
      </c>
      <c r="I38" s="12">
        <v>27</v>
      </c>
      <c r="J38" s="12">
        <v>4</v>
      </c>
      <c r="K38" s="15">
        <v>12</v>
      </c>
      <c r="L38" s="12">
        <v>12</v>
      </c>
      <c r="M38" s="16" t="s">
        <v>95</v>
      </c>
      <c r="N38" s="15">
        <v>6</v>
      </c>
      <c r="O38" s="12" t="s">
        <v>222</v>
      </c>
      <c r="P38" s="12">
        <v>56</v>
      </c>
      <c r="Q38" s="1"/>
      <c r="R38" s="1"/>
    </row>
    <row r="39" spans="1:18" ht="12.75">
      <c r="A39" s="69" t="s">
        <v>228</v>
      </c>
      <c r="B39" s="77" t="s">
        <v>230</v>
      </c>
      <c r="C39" s="12" t="s">
        <v>231</v>
      </c>
      <c r="D39" s="13">
        <f>14/37</f>
        <v>0.3783783783783784</v>
      </c>
      <c r="E39" s="12" t="s">
        <v>165</v>
      </c>
      <c r="F39" s="13">
        <f>4/13</f>
        <v>0.3076923076923077</v>
      </c>
      <c r="G39" s="12" t="s">
        <v>232</v>
      </c>
      <c r="H39" s="56">
        <f>28/35</f>
        <v>0.8</v>
      </c>
      <c r="I39" s="12">
        <v>23</v>
      </c>
      <c r="J39" s="12">
        <v>7</v>
      </c>
      <c r="K39" s="15">
        <v>12</v>
      </c>
      <c r="L39" s="12">
        <v>14</v>
      </c>
      <c r="M39" s="40" t="s">
        <v>74</v>
      </c>
      <c r="N39" s="15">
        <v>4</v>
      </c>
      <c r="O39" s="12" t="s">
        <v>233</v>
      </c>
      <c r="P39" s="12">
        <v>73</v>
      </c>
      <c r="Q39" s="1"/>
      <c r="R39" s="1"/>
    </row>
    <row r="40" spans="1:18" ht="12.75">
      <c r="A40" s="69" t="s">
        <v>229</v>
      </c>
      <c r="B40" s="77" t="s">
        <v>230</v>
      </c>
      <c r="C40" s="12" t="s">
        <v>235</v>
      </c>
      <c r="D40" s="13">
        <f>17/44</f>
        <v>0.38636363636363635</v>
      </c>
      <c r="E40" s="12" t="s">
        <v>236</v>
      </c>
      <c r="F40" s="62">
        <v>0</v>
      </c>
      <c r="G40" s="12" t="s">
        <v>237</v>
      </c>
      <c r="H40" s="13">
        <f>20/28</f>
        <v>0.7142857142857143</v>
      </c>
      <c r="I40" s="12">
        <v>19</v>
      </c>
      <c r="J40" s="12">
        <v>10</v>
      </c>
      <c r="K40" s="15">
        <v>10</v>
      </c>
      <c r="L40" s="78">
        <v>9</v>
      </c>
      <c r="M40" s="40" t="s">
        <v>238</v>
      </c>
      <c r="N40" s="15">
        <v>3</v>
      </c>
      <c r="O40" s="12" t="s">
        <v>239</v>
      </c>
      <c r="P40" s="12">
        <v>43</v>
      </c>
      <c r="Q40" s="1"/>
      <c r="R40" s="1"/>
    </row>
    <row r="41" spans="1:18" ht="12.75">
      <c r="A41" s="69" t="s">
        <v>227</v>
      </c>
      <c r="B41" s="77" t="s">
        <v>230</v>
      </c>
      <c r="C41" s="12" t="s">
        <v>234</v>
      </c>
      <c r="D41" s="13">
        <f>15/38</f>
        <v>0.39473684210526316</v>
      </c>
      <c r="E41" s="12" t="s">
        <v>72</v>
      </c>
      <c r="F41" s="13">
        <f>7/17</f>
        <v>0.4117647058823529</v>
      </c>
      <c r="G41" s="12" t="s">
        <v>240</v>
      </c>
      <c r="H41" s="13">
        <f>26/35</f>
        <v>0.7428571428571429</v>
      </c>
      <c r="I41" s="12">
        <v>25</v>
      </c>
      <c r="J41" s="12">
        <v>3</v>
      </c>
      <c r="K41" s="15">
        <v>12</v>
      </c>
      <c r="L41" s="12">
        <v>19</v>
      </c>
      <c r="M41" s="16" t="s">
        <v>172</v>
      </c>
      <c r="N41" s="15">
        <v>3</v>
      </c>
      <c r="O41" s="36" t="s">
        <v>241</v>
      </c>
      <c r="P41" s="12">
        <v>73</v>
      </c>
      <c r="Q41" s="1"/>
      <c r="R41" s="1"/>
    </row>
    <row r="42" spans="1:16" ht="12.75">
      <c r="A42" s="12"/>
      <c r="B42" s="68"/>
      <c r="C42" s="25"/>
      <c r="D42" s="13"/>
      <c r="E42" s="12"/>
      <c r="F42" s="13"/>
      <c r="G42" s="12"/>
      <c r="H42" s="13"/>
      <c r="I42" s="12"/>
      <c r="J42" s="12"/>
      <c r="K42" s="15"/>
      <c r="L42" s="12"/>
      <c r="M42" s="16"/>
      <c r="N42" s="15"/>
      <c r="O42" s="12"/>
      <c r="P42" s="12"/>
    </row>
    <row r="43" spans="1:17" ht="12.75">
      <c r="A43" s="47" t="s">
        <v>51</v>
      </c>
      <c r="B43" s="68" t="s">
        <v>244</v>
      </c>
      <c r="C43" s="54" t="s">
        <v>242</v>
      </c>
      <c r="D43" s="67">
        <v>0.4893</v>
      </c>
      <c r="E43" s="51" t="s">
        <v>246</v>
      </c>
      <c r="F43" s="67">
        <f>126/432</f>
        <v>0.2916666666666667</v>
      </c>
      <c r="G43" s="51" t="s">
        <v>248</v>
      </c>
      <c r="H43" s="67">
        <v>0.6254</v>
      </c>
      <c r="I43" s="37">
        <v>705</v>
      </c>
      <c r="J43" s="37">
        <v>197</v>
      </c>
      <c r="K43" s="38">
        <v>421</v>
      </c>
      <c r="L43" s="37">
        <v>424</v>
      </c>
      <c r="M43" s="39" t="s">
        <v>250</v>
      </c>
      <c r="N43" s="38">
        <v>167</v>
      </c>
      <c r="O43" s="68" t="s">
        <v>277</v>
      </c>
      <c r="P43" s="52">
        <v>2053</v>
      </c>
      <c r="Q43" s="11"/>
    </row>
    <row r="44" spans="1:17" ht="12.75">
      <c r="A44" s="37"/>
      <c r="B44" s="54" t="s">
        <v>245</v>
      </c>
      <c r="C44" s="26" t="s">
        <v>243</v>
      </c>
      <c r="E44" s="26" t="s">
        <v>247</v>
      </c>
      <c r="G44" s="26" t="s">
        <v>249</v>
      </c>
      <c r="I44" s="66">
        <f>705/29</f>
        <v>24.310344827586206</v>
      </c>
      <c r="J44" s="66">
        <f>197/29</f>
        <v>6.793103448275862</v>
      </c>
      <c r="K44" s="66">
        <f>421/29</f>
        <v>14.517241379310345</v>
      </c>
      <c r="L44" s="66">
        <f>424/29</f>
        <v>14.620689655172415</v>
      </c>
      <c r="M44" s="53" t="s">
        <v>251</v>
      </c>
      <c r="N44" s="53">
        <f>167/29</f>
        <v>5.758620689655173</v>
      </c>
      <c r="O44" s="26" t="s">
        <v>252</v>
      </c>
      <c r="P44" s="66">
        <f>2053/29</f>
        <v>70.79310344827586</v>
      </c>
      <c r="Q44" s="11"/>
    </row>
    <row r="45" spans="2:14" ht="12.75">
      <c r="B45" t="s">
        <v>17</v>
      </c>
      <c r="C45" s="28"/>
      <c r="K45" s="2"/>
      <c r="M45" s="3"/>
      <c r="N45" s="2"/>
    </row>
    <row r="46" spans="2:16" ht="12.75">
      <c r="B46" t="s">
        <v>18</v>
      </c>
      <c r="C46" s="72"/>
      <c r="G46" s="27"/>
      <c r="K46" s="2"/>
      <c r="M46" s="3"/>
      <c r="N46" s="48"/>
      <c r="O46" s="47"/>
      <c r="P46" s="6"/>
    </row>
    <row r="47" spans="3:16" ht="12.75">
      <c r="C47" s="74"/>
      <c r="G47" s="27"/>
      <c r="K47" s="2"/>
      <c r="M47" s="3"/>
      <c r="N47" s="48"/>
      <c r="O47" s="47"/>
      <c r="P47" s="6"/>
    </row>
    <row r="48" spans="1:18" ht="12.75">
      <c r="A48" s="7" t="s">
        <v>19</v>
      </c>
      <c r="B48" s="7" t="s">
        <v>20</v>
      </c>
      <c r="C48" s="73" t="s">
        <v>21</v>
      </c>
      <c r="D48" s="7" t="s">
        <v>22</v>
      </c>
      <c r="E48" s="7" t="s">
        <v>23</v>
      </c>
      <c r="F48" s="7" t="s">
        <v>47</v>
      </c>
      <c r="G48" s="7" t="s">
        <v>25</v>
      </c>
      <c r="H48" s="7" t="s">
        <v>24</v>
      </c>
      <c r="I48" s="7" t="s">
        <v>25</v>
      </c>
      <c r="J48" s="7" t="s">
        <v>26</v>
      </c>
      <c r="K48" s="7" t="s">
        <v>25</v>
      </c>
      <c r="L48" s="7" t="s">
        <v>27</v>
      </c>
      <c r="M48" s="8" t="s">
        <v>28</v>
      </c>
      <c r="N48" s="7" t="s">
        <v>29</v>
      </c>
      <c r="O48" s="9" t="s">
        <v>30</v>
      </c>
      <c r="P48" s="8" t="s">
        <v>31</v>
      </c>
      <c r="Q48" s="8" t="s">
        <v>48</v>
      </c>
      <c r="R48" s="8" t="s">
        <v>49</v>
      </c>
    </row>
    <row r="49" spans="1:18" ht="12.75">
      <c r="A49" s="11">
        <v>4</v>
      </c>
      <c r="B49" s="11" t="s">
        <v>43</v>
      </c>
      <c r="C49" s="12">
        <v>24</v>
      </c>
      <c r="D49" s="12">
        <v>93</v>
      </c>
      <c r="E49" s="16">
        <f>93/24</f>
        <v>3.875</v>
      </c>
      <c r="F49" s="12">
        <v>502</v>
      </c>
      <c r="G49" s="16">
        <f>502/24</f>
        <v>20.916666666666668</v>
      </c>
      <c r="H49" s="12">
        <v>62</v>
      </c>
      <c r="I49" s="16">
        <f>62/24</f>
        <v>2.5833333333333335</v>
      </c>
      <c r="J49" s="12">
        <v>68</v>
      </c>
      <c r="K49" s="16">
        <f>68/24</f>
        <v>2.8333333333333335</v>
      </c>
      <c r="L49" s="12">
        <v>45</v>
      </c>
      <c r="M49" s="15">
        <v>16</v>
      </c>
      <c r="N49" s="15">
        <v>61</v>
      </c>
      <c r="O49" s="16">
        <f>61/24</f>
        <v>2.5416666666666665</v>
      </c>
      <c r="P49" s="12">
        <v>23</v>
      </c>
      <c r="Q49" s="11">
        <v>0</v>
      </c>
      <c r="R49" s="11">
        <v>2</v>
      </c>
    </row>
    <row r="50" spans="1:18" ht="12.75">
      <c r="A50" s="11">
        <v>5</v>
      </c>
      <c r="B50" s="11" t="s">
        <v>44</v>
      </c>
      <c r="C50" s="12">
        <v>25</v>
      </c>
      <c r="D50" s="12">
        <v>129</v>
      </c>
      <c r="E50" s="16">
        <f>129/25</f>
        <v>5.16</v>
      </c>
      <c r="F50" s="12">
        <v>546</v>
      </c>
      <c r="G50" s="16">
        <f>546/25</f>
        <v>21.84</v>
      </c>
      <c r="H50" s="12">
        <v>46</v>
      </c>
      <c r="I50" s="16">
        <f>46/25</f>
        <v>1.84</v>
      </c>
      <c r="J50" s="12">
        <v>71</v>
      </c>
      <c r="K50" s="16">
        <f>71/25</f>
        <v>2.84</v>
      </c>
      <c r="L50" s="12">
        <v>26</v>
      </c>
      <c r="M50" s="15">
        <v>4</v>
      </c>
      <c r="N50" s="15">
        <v>30</v>
      </c>
      <c r="O50" s="19">
        <f>30/25</f>
        <v>1.2</v>
      </c>
      <c r="P50" s="12">
        <v>17</v>
      </c>
      <c r="Q50" s="11">
        <v>3</v>
      </c>
      <c r="R50" s="11">
        <v>0</v>
      </c>
    </row>
    <row r="51" spans="1:18" ht="12.75">
      <c r="A51" s="11">
        <v>19</v>
      </c>
      <c r="B51" s="11" t="s">
        <v>107</v>
      </c>
      <c r="C51" s="12">
        <v>2</v>
      </c>
      <c r="D51" s="12">
        <v>3</v>
      </c>
      <c r="E51" s="16">
        <f>3/2</f>
        <v>1.5</v>
      </c>
      <c r="F51" s="12">
        <v>27</v>
      </c>
      <c r="G51" s="16">
        <f>27/2</f>
        <v>13.5</v>
      </c>
      <c r="H51" s="12">
        <v>1</v>
      </c>
      <c r="I51" s="16">
        <f>1/2</f>
        <v>0.5</v>
      </c>
      <c r="J51" s="12">
        <v>1</v>
      </c>
      <c r="K51" s="16">
        <f>1/2</f>
        <v>0.5</v>
      </c>
      <c r="L51" s="12">
        <v>3</v>
      </c>
      <c r="M51" s="15">
        <v>0</v>
      </c>
      <c r="N51" s="15">
        <v>3</v>
      </c>
      <c r="O51" s="19">
        <f>3/2</f>
        <v>1.5</v>
      </c>
      <c r="P51" s="12">
        <v>0</v>
      </c>
      <c r="Q51" s="11">
        <v>1</v>
      </c>
      <c r="R51" s="11">
        <v>0</v>
      </c>
    </row>
    <row r="52" spans="1:18" ht="12.75">
      <c r="A52" s="11">
        <v>8</v>
      </c>
      <c r="B52" s="11" t="s">
        <v>52</v>
      </c>
      <c r="C52" s="12">
        <v>28</v>
      </c>
      <c r="D52" s="12">
        <v>351</v>
      </c>
      <c r="E52" s="16">
        <f>351/28</f>
        <v>12.535714285714286</v>
      </c>
      <c r="F52" s="17">
        <v>707</v>
      </c>
      <c r="G52" s="16">
        <f>707/28</f>
        <v>25.25</v>
      </c>
      <c r="H52" s="17">
        <v>75</v>
      </c>
      <c r="I52" s="16">
        <f>75/28</f>
        <v>2.6785714285714284</v>
      </c>
      <c r="J52" s="12">
        <v>125</v>
      </c>
      <c r="K52" s="16">
        <f>125/28</f>
        <v>4.464285714285714</v>
      </c>
      <c r="L52" s="12">
        <v>85</v>
      </c>
      <c r="M52" s="15">
        <v>26</v>
      </c>
      <c r="N52" s="15">
        <v>111</v>
      </c>
      <c r="O52" s="16">
        <f>111/28</f>
        <v>3.9642857142857144</v>
      </c>
      <c r="P52" s="12">
        <v>22</v>
      </c>
      <c r="Q52" s="11">
        <v>0</v>
      </c>
      <c r="R52" s="11">
        <v>10</v>
      </c>
    </row>
    <row r="53" spans="1:18" ht="12.75">
      <c r="A53" s="11">
        <v>9</v>
      </c>
      <c r="B53" s="11" t="s">
        <v>53</v>
      </c>
      <c r="C53" s="12">
        <v>24</v>
      </c>
      <c r="D53" s="12">
        <v>255</v>
      </c>
      <c r="E53" s="16">
        <f>255/24</f>
        <v>10.625</v>
      </c>
      <c r="F53" s="17">
        <v>579</v>
      </c>
      <c r="G53" s="16">
        <f>579/24</f>
        <v>24.125</v>
      </c>
      <c r="H53" s="17">
        <v>53</v>
      </c>
      <c r="I53" s="16">
        <f>53/24</f>
        <v>2.2083333333333335</v>
      </c>
      <c r="J53" s="12">
        <v>70</v>
      </c>
      <c r="K53" s="16">
        <f>70/24</f>
        <v>2.9166666666666665</v>
      </c>
      <c r="L53" s="12">
        <v>48</v>
      </c>
      <c r="M53" s="15">
        <v>11</v>
      </c>
      <c r="N53" s="15">
        <v>59</v>
      </c>
      <c r="O53" s="19">
        <f>59/24</f>
        <v>2.4583333333333335</v>
      </c>
      <c r="P53" s="12">
        <v>19</v>
      </c>
      <c r="Q53" s="11">
        <v>12</v>
      </c>
      <c r="R53" s="11">
        <v>4</v>
      </c>
    </row>
    <row r="54" spans="1:18" ht="12.75">
      <c r="A54" s="11">
        <v>10</v>
      </c>
      <c r="B54" s="11" t="s">
        <v>32</v>
      </c>
      <c r="C54" s="12">
        <v>25</v>
      </c>
      <c r="D54" s="12">
        <v>253</v>
      </c>
      <c r="E54" s="16">
        <f>253/25</f>
        <v>10.12</v>
      </c>
      <c r="F54" s="17">
        <v>626</v>
      </c>
      <c r="G54" s="16">
        <f>626/25</f>
        <v>25.04</v>
      </c>
      <c r="H54" s="17">
        <v>56</v>
      </c>
      <c r="I54" s="16">
        <f>56/25</f>
        <v>2.24</v>
      </c>
      <c r="J54" s="12">
        <v>34</v>
      </c>
      <c r="K54" s="16">
        <f>34/25</f>
        <v>1.36</v>
      </c>
      <c r="L54" s="12">
        <v>36</v>
      </c>
      <c r="M54" s="15">
        <v>7</v>
      </c>
      <c r="N54" s="15">
        <v>43</v>
      </c>
      <c r="O54" s="19">
        <f>43/25</f>
        <v>1.72</v>
      </c>
      <c r="P54" s="12">
        <v>20</v>
      </c>
      <c r="Q54" s="11">
        <v>1</v>
      </c>
      <c r="R54" s="11">
        <v>2</v>
      </c>
    </row>
    <row r="55" spans="1:18" ht="12.75">
      <c r="A55" s="11">
        <v>11</v>
      </c>
      <c r="B55" s="11" t="s">
        <v>35</v>
      </c>
      <c r="C55" s="12">
        <v>21</v>
      </c>
      <c r="D55" s="12">
        <v>54</v>
      </c>
      <c r="E55" s="16">
        <f>54/21</f>
        <v>2.5714285714285716</v>
      </c>
      <c r="F55" s="17">
        <v>329</v>
      </c>
      <c r="G55" s="16">
        <f>329/21</f>
        <v>15.666666666666666</v>
      </c>
      <c r="H55" s="17">
        <v>38</v>
      </c>
      <c r="I55" s="16">
        <f>38/21</f>
        <v>1.8095238095238095</v>
      </c>
      <c r="J55" s="12">
        <v>6</v>
      </c>
      <c r="K55" s="16">
        <f>6/21</f>
        <v>0.2857142857142857</v>
      </c>
      <c r="L55" s="12">
        <v>40</v>
      </c>
      <c r="M55" s="15">
        <v>13</v>
      </c>
      <c r="N55" s="15">
        <v>53</v>
      </c>
      <c r="O55" s="16">
        <f>53/21</f>
        <v>2.5238095238095237</v>
      </c>
      <c r="P55" s="12">
        <v>6</v>
      </c>
      <c r="Q55" s="11">
        <v>12</v>
      </c>
      <c r="R55" s="11">
        <v>1</v>
      </c>
    </row>
    <row r="56" spans="1:18" ht="12.75">
      <c r="A56" s="11">
        <v>12</v>
      </c>
      <c r="B56" s="11" t="s">
        <v>55</v>
      </c>
      <c r="C56" s="12">
        <v>1</v>
      </c>
      <c r="D56" s="12">
        <v>2</v>
      </c>
      <c r="E56" s="16">
        <f>2/1</f>
        <v>2</v>
      </c>
      <c r="F56" s="17">
        <v>15</v>
      </c>
      <c r="G56" s="16">
        <f>15/1</f>
        <v>15</v>
      </c>
      <c r="H56" s="17">
        <v>2</v>
      </c>
      <c r="I56" s="16">
        <f>2/1</f>
        <v>2</v>
      </c>
      <c r="J56" s="12">
        <v>2</v>
      </c>
      <c r="K56" s="16">
        <f>2/1</f>
        <v>2</v>
      </c>
      <c r="L56" s="12">
        <v>0</v>
      </c>
      <c r="M56" s="15">
        <v>0</v>
      </c>
      <c r="N56" s="15">
        <v>0</v>
      </c>
      <c r="O56" s="19">
        <f>0/1</f>
        <v>0</v>
      </c>
      <c r="P56" s="12">
        <v>3</v>
      </c>
      <c r="Q56" s="11">
        <v>0</v>
      </c>
      <c r="R56" s="11">
        <v>0</v>
      </c>
    </row>
    <row r="57" spans="1:18" ht="12.75">
      <c r="A57" s="11">
        <v>13</v>
      </c>
      <c r="B57" s="11" t="s">
        <v>45</v>
      </c>
      <c r="C57" s="12">
        <v>4</v>
      </c>
      <c r="D57" s="12">
        <v>27</v>
      </c>
      <c r="E57" s="16">
        <f>27/4</f>
        <v>6.75</v>
      </c>
      <c r="F57" s="17">
        <v>79</v>
      </c>
      <c r="G57" s="16">
        <f>79/4</f>
        <v>19.75</v>
      </c>
      <c r="H57" s="17">
        <v>6</v>
      </c>
      <c r="I57" s="16">
        <f>6/4</f>
        <v>1.5</v>
      </c>
      <c r="J57" s="12">
        <v>3</v>
      </c>
      <c r="K57" s="16">
        <f>3/4</f>
        <v>0.75</v>
      </c>
      <c r="L57" s="12">
        <v>2</v>
      </c>
      <c r="M57" s="15">
        <v>1</v>
      </c>
      <c r="N57" s="15">
        <v>3</v>
      </c>
      <c r="O57" s="16">
        <f>3/4</f>
        <v>0.75</v>
      </c>
      <c r="P57" s="12">
        <v>0</v>
      </c>
      <c r="Q57" s="11">
        <v>0</v>
      </c>
      <c r="R57" s="11">
        <v>0</v>
      </c>
    </row>
    <row r="58" spans="1:18" ht="12.75">
      <c r="A58" s="11">
        <v>14</v>
      </c>
      <c r="B58" s="11" t="s">
        <v>54</v>
      </c>
      <c r="C58" s="12">
        <v>6</v>
      </c>
      <c r="D58" s="12">
        <v>35</v>
      </c>
      <c r="E58" s="16">
        <f>35/6</f>
        <v>5.833333333333333</v>
      </c>
      <c r="F58" s="17">
        <v>89</v>
      </c>
      <c r="G58" s="16">
        <f>89/6</f>
        <v>14.833333333333334</v>
      </c>
      <c r="H58" s="17">
        <v>5</v>
      </c>
      <c r="I58" s="16">
        <f>5/6</f>
        <v>0.8333333333333334</v>
      </c>
      <c r="J58" s="12">
        <v>7</v>
      </c>
      <c r="K58" s="16">
        <f>7/6</f>
        <v>1.1666666666666667</v>
      </c>
      <c r="L58" s="12">
        <v>6</v>
      </c>
      <c r="M58" s="15">
        <v>0</v>
      </c>
      <c r="N58" s="15">
        <v>6</v>
      </c>
      <c r="O58" s="19">
        <f>6/6</f>
        <v>1</v>
      </c>
      <c r="P58" s="12">
        <v>6</v>
      </c>
      <c r="Q58" s="11">
        <v>0</v>
      </c>
      <c r="R58" s="11">
        <v>0</v>
      </c>
    </row>
    <row r="59" spans="1:18" ht="12.75">
      <c r="A59" s="11">
        <v>15</v>
      </c>
      <c r="B59" s="11" t="s">
        <v>46</v>
      </c>
      <c r="C59" s="12">
        <v>4</v>
      </c>
      <c r="D59" s="12">
        <v>0</v>
      </c>
      <c r="E59" s="16">
        <f>0/4</f>
        <v>0</v>
      </c>
      <c r="F59" s="17">
        <v>36</v>
      </c>
      <c r="G59" s="16">
        <f>36/4</f>
        <v>9</v>
      </c>
      <c r="H59" s="17">
        <v>4</v>
      </c>
      <c r="I59" s="16">
        <f>4/4</f>
        <v>1</v>
      </c>
      <c r="J59" s="12">
        <v>1</v>
      </c>
      <c r="K59" s="16">
        <f>1/4</f>
        <v>0.25</v>
      </c>
      <c r="L59" s="12">
        <v>7</v>
      </c>
      <c r="M59" s="15">
        <v>1</v>
      </c>
      <c r="N59" s="15">
        <v>8</v>
      </c>
      <c r="O59" s="16">
        <f>8/4</f>
        <v>2</v>
      </c>
      <c r="P59" s="12">
        <v>0</v>
      </c>
      <c r="Q59" s="11">
        <v>0</v>
      </c>
      <c r="R59" s="11">
        <v>0</v>
      </c>
    </row>
    <row r="60" spans="1:18" ht="12.75">
      <c r="A60" s="11">
        <v>16</v>
      </c>
      <c r="B60" s="11" t="s">
        <v>33</v>
      </c>
      <c r="C60" s="12">
        <v>24</v>
      </c>
      <c r="D60" s="12">
        <v>181</v>
      </c>
      <c r="E60" s="16">
        <f>181/24</f>
        <v>7.541666666666667</v>
      </c>
      <c r="F60" s="17">
        <v>505</v>
      </c>
      <c r="G60" s="16">
        <f>505/24</f>
        <v>21.041666666666668</v>
      </c>
      <c r="H60" s="17">
        <v>31</v>
      </c>
      <c r="I60" s="16">
        <f>31/24</f>
        <v>1.2916666666666667</v>
      </c>
      <c r="J60" s="12">
        <v>42</v>
      </c>
      <c r="K60" s="16">
        <f>42/24</f>
        <v>1.75</v>
      </c>
      <c r="L60" s="12">
        <v>75</v>
      </c>
      <c r="M60" s="15">
        <v>20</v>
      </c>
      <c r="N60" s="15">
        <v>95</v>
      </c>
      <c r="O60" s="16">
        <f>95/24</f>
        <v>3.9583333333333335</v>
      </c>
      <c r="P60" s="12">
        <v>4</v>
      </c>
      <c r="Q60" s="11">
        <v>9</v>
      </c>
      <c r="R60" s="11">
        <v>2</v>
      </c>
    </row>
    <row r="61" spans="1:18" ht="12.75">
      <c r="A61" s="11">
        <v>20</v>
      </c>
      <c r="B61" s="11" t="s">
        <v>50</v>
      </c>
      <c r="C61" s="12">
        <v>26</v>
      </c>
      <c r="D61" s="12">
        <v>103</v>
      </c>
      <c r="E61" s="16">
        <f>103/26</f>
        <v>3.9615384615384617</v>
      </c>
      <c r="F61" s="17">
        <v>399</v>
      </c>
      <c r="G61" s="16">
        <f>399/26</f>
        <v>15.346153846153847</v>
      </c>
      <c r="H61" s="17">
        <v>66</v>
      </c>
      <c r="I61" s="16">
        <f>66/26</f>
        <v>2.5384615384615383</v>
      </c>
      <c r="J61" s="12">
        <v>44</v>
      </c>
      <c r="K61" s="16">
        <f>44/26</f>
        <v>1.6923076923076923</v>
      </c>
      <c r="L61" s="12">
        <v>54</v>
      </c>
      <c r="M61" s="15">
        <v>16</v>
      </c>
      <c r="N61" s="15">
        <v>70</v>
      </c>
      <c r="O61" s="16">
        <f>70/26</f>
        <v>2.6923076923076925</v>
      </c>
      <c r="P61" s="12">
        <v>10</v>
      </c>
      <c r="Q61" s="11">
        <v>0</v>
      </c>
      <c r="R61" s="11">
        <v>4</v>
      </c>
    </row>
    <row r="62" spans="1:18" ht="12.75">
      <c r="A62" s="11">
        <v>24</v>
      </c>
      <c r="B62" s="29" t="s">
        <v>34</v>
      </c>
      <c r="C62" s="12">
        <v>23</v>
      </c>
      <c r="D62" s="12">
        <v>256</v>
      </c>
      <c r="E62" s="16">
        <f>256/23</f>
        <v>11.130434782608695</v>
      </c>
      <c r="F62" s="17">
        <v>619</v>
      </c>
      <c r="G62" s="16">
        <f>619/23</f>
        <v>26.91304347826087</v>
      </c>
      <c r="H62" s="17">
        <v>85</v>
      </c>
      <c r="I62" s="16">
        <f>85/23</f>
        <v>3.6956521739130435</v>
      </c>
      <c r="J62" s="12">
        <v>103</v>
      </c>
      <c r="K62" s="16">
        <f>103/23</f>
        <v>4.478260869565218</v>
      </c>
      <c r="L62" s="12">
        <v>159</v>
      </c>
      <c r="M62" s="15">
        <v>39</v>
      </c>
      <c r="N62" s="15">
        <v>198</v>
      </c>
      <c r="O62" s="16">
        <f>198/23</f>
        <v>8.608695652173912</v>
      </c>
      <c r="P62" s="12">
        <v>13</v>
      </c>
      <c r="Q62" s="11">
        <v>4</v>
      </c>
      <c r="R62" s="11">
        <v>4</v>
      </c>
    </row>
    <row r="63" spans="1:18" ht="12.75">
      <c r="A63" s="11">
        <v>42</v>
      </c>
      <c r="B63" s="11" t="s">
        <v>56</v>
      </c>
      <c r="C63" s="12">
        <v>28</v>
      </c>
      <c r="D63" s="12">
        <v>329</v>
      </c>
      <c r="E63" s="16">
        <f>329/28</f>
        <v>11.75</v>
      </c>
      <c r="F63" s="17">
        <v>619</v>
      </c>
      <c r="G63" s="16">
        <f>619/28</f>
        <v>22.107142857142858</v>
      </c>
      <c r="H63" s="17">
        <v>93</v>
      </c>
      <c r="I63" s="16">
        <f>93/28</f>
        <v>3.3214285714285716</v>
      </c>
      <c r="J63" s="12">
        <v>113</v>
      </c>
      <c r="K63" s="16">
        <f>113/28</f>
        <v>4.035714285714286</v>
      </c>
      <c r="L63" s="12">
        <v>105</v>
      </c>
      <c r="M63" s="15">
        <v>42</v>
      </c>
      <c r="N63" s="15">
        <v>147</v>
      </c>
      <c r="O63" s="16">
        <f>147/28</f>
        <v>5.25</v>
      </c>
      <c r="P63" s="12">
        <v>19</v>
      </c>
      <c r="Q63" s="11">
        <v>40</v>
      </c>
      <c r="R63" s="11">
        <v>7</v>
      </c>
    </row>
    <row r="64" spans="1:18" ht="12.75">
      <c r="A64" s="11">
        <v>6</v>
      </c>
      <c r="B64" s="11" t="s">
        <v>158</v>
      </c>
      <c r="C64" s="12">
        <v>9</v>
      </c>
      <c r="D64" s="12">
        <v>13</v>
      </c>
      <c r="E64" s="16">
        <f>13/9</f>
        <v>1.4444444444444444</v>
      </c>
      <c r="F64" s="17">
        <v>133</v>
      </c>
      <c r="G64" s="16">
        <f>133/9</f>
        <v>14.777777777777779</v>
      </c>
      <c r="H64" s="17">
        <v>5</v>
      </c>
      <c r="I64" s="16">
        <f>5/9</f>
        <v>0.5555555555555556</v>
      </c>
      <c r="J64" s="12">
        <v>6</v>
      </c>
      <c r="K64" s="16">
        <f>6/9</f>
        <v>0.6666666666666666</v>
      </c>
      <c r="L64" s="12">
        <v>11</v>
      </c>
      <c r="M64" s="15">
        <v>1</v>
      </c>
      <c r="N64" s="15">
        <v>12</v>
      </c>
      <c r="O64" s="16">
        <f>12/9</f>
        <v>1.3333333333333333</v>
      </c>
      <c r="P64" s="12">
        <v>4</v>
      </c>
      <c r="Q64" s="11">
        <v>0</v>
      </c>
      <c r="R64" s="11">
        <v>0</v>
      </c>
    </row>
    <row r="65" spans="1:18" ht="12.75">
      <c r="A65" s="11">
        <v>21</v>
      </c>
      <c r="B65" s="11" t="s">
        <v>223</v>
      </c>
      <c r="C65" s="12">
        <v>1</v>
      </c>
      <c r="D65" s="12">
        <v>2</v>
      </c>
      <c r="E65" s="16">
        <f>2/1</f>
        <v>2</v>
      </c>
      <c r="F65" s="17">
        <v>16</v>
      </c>
      <c r="G65" s="16">
        <f>16/1</f>
        <v>16</v>
      </c>
      <c r="H65" s="17">
        <v>1</v>
      </c>
      <c r="I65" s="16">
        <f>1/1</f>
        <v>1</v>
      </c>
      <c r="J65" s="12">
        <v>1</v>
      </c>
      <c r="K65" s="16">
        <f>1/1</f>
        <v>1</v>
      </c>
      <c r="L65" s="12">
        <v>0</v>
      </c>
      <c r="M65" s="15">
        <v>0</v>
      </c>
      <c r="N65" s="15">
        <v>0</v>
      </c>
      <c r="O65" s="19">
        <f>0/1</f>
        <v>0</v>
      </c>
      <c r="P65" s="12">
        <v>1</v>
      </c>
      <c r="Q65" s="11">
        <v>1</v>
      </c>
      <c r="R65" s="11">
        <v>0</v>
      </c>
    </row>
    <row r="66" spans="1:18" ht="12.75">
      <c r="A66" s="11">
        <v>22</v>
      </c>
      <c r="B66" s="29" t="s">
        <v>224</v>
      </c>
      <c r="C66" s="12">
        <v>2</v>
      </c>
      <c r="D66" s="12">
        <v>8</v>
      </c>
      <c r="E66" s="16">
        <f>8/2</f>
        <v>4</v>
      </c>
      <c r="F66" s="17">
        <v>24</v>
      </c>
      <c r="G66" s="19">
        <f>24/2</f>
        <v>12</v>
      </c>
      <c r="H66" s="17">
        <v>0</v>
      </c>
      <c r="I66" s="19">
        <v>0</v>
      </c>
      <c r="J66" s="17">
        <v>1</v>
      </c>
      <c r="K66" s="19">
        <f>1/2</f>
        <v>0.5</v>
      </c>
      <c r="L66" s="17">
        <v>3</v>
      </c>
      <c r="M66" s="18">
        <v>0</v>
      </c>
      <c r="N66" s="18">
        <v>3</v>
      </c>
      <c r="O66" s="16">
        <f>3/2</f>
        <v>1.5</v>
      </c>
      <c r="P66" s="12">
        <v>0</v>
      </c>
      <c r="Q66" s="11">
        <v>0</v>
      </c>
      <c r="R66" s="11">
        <v>0</v>
      </c>
    </row>
    <row r="67" spans="1:18" ht="12.75">
      <c r="A67" s="11"/>
      <c r="B67" s="11"/>
      <c r="C67" s="12"/>
      <c r="D67" s="12"/>
      <c r="E67" s="16"/>
      <c r="F67" s="17"/>
      <c r="G67" s="16"/>
      <c r="H67" s="12"/>
      <c r="I67" s="16"/>
      <c r="J67" s="12"/>
      <c r="K67" s="16"/>
      <c r="L67" s="12"/>
      <c r="M67" s="15"/>
      <c r="N67" s="15"/>
      <c r="O67" s="16"/>
      <c r="P67" s="12"/>
      <c r="Q67" s="11"/>
      <c r="R67" s="11"/>
    </row>
    <row r="68" spans="1:18" ht="12.75">
      <c r="A68" s="11"/>
      <c r="B68" s="11"/>
      <c r="C68" s="12"/>
      <c r="D68" s="12"/>
      <c r="E68" s="12"/>
      <c r="F68" s="17"/>
      <c r="G68" s="12"/>
      <c r="H68" s="12"/>
      <c r="I68" s="12"/>
      <c r="J68" s="12"/>
      <c r="K68" s="16"/>
      <c r="L68" s="12"/>
      <c r="M68" s="16"/>
      <c r="N68" s="15"/>
      <c r="O68" s="12"/>
      <c r="P68" s="11"/>
      <c r="Q68" s="11"/>
      <c r="R68" s="11"/>
    </row>
    <row r="69" spans="1:18" ht="12.75">
      <c r="A69" s="11"/>
      <c r="B69" s="11"/>
      <c r="C69" s="12"/>
      <c r="D69" s="12"/>
      <c r="E69" s="12"/>
      <c r="F69" s="17"/>
      <c r="G69" s="12"/>
      <c r="H69" s="12"/>
      <c r="I69" s="12"/>
      <c r="J69" s="11"/>
      <c r="K69" s="23"/>
      <c r="L69" s="11"/>
      <c r="M69" s="24"/>
      <c r="N69" s="23"/>
      <c r="Q69" s="11"/>
      <c r="R69" s="11"/>
    </row>
    <row r="70" spans="1:18" ht="12.75">
      <c r="A70" s="7" t="s">
        <v>19</v>
      </c>
      <c r="B70" s="7" t="s">
        <v>20</v>
      </c>
      <c r="C70" s="7" t="s">
        <v>36</v>
      </c>
      <c r="D70" s="7" t="s">
        <v>37</v>
      </c>
      <c r="E70" s="7" t="s">
        <v>38</v>
      </c>
      <c r="F70" s="7" t="s">
        <v>4</v>
      </c>
      <c r="G70" s="7" t="s">
        <v>5</v>
      </c>
      <c r="H70" s="7" t="s">
        <v>6</v>
      </c>
      <c r="I70" s="7" t="s">
        <v>11</v>
      </c>
      <c r="J70" s="7" t="s">
        <v>30</v>
      </c>
      <c r="K70" s="8" t="s">
        <v>39</v>
      </c>
      <c r="L70" s="7" t="s">
        <v>30</v>
      </c>
      <c r="M70" s="30" t="s">
        <v>40</v>
      </c>
      <c r="N70" s="31"/>
      <c r="O70" s="10" t="s">
        <v>41</v>
      </c>
      <c r="P70" s="32" t="s">
        <v>30</v>
      </c>
      <c r="Q70" s="11"/>
      <c r="R70" s="11"/>
    </row>
    <row r="71" spans="1:17" ht="12.75">
      <c r="A71" s="11">
        <v>4</v>
      </c>
      <c r="B71" s="11" t="s">
        <v>43</v>
      </c>
      <c r="C71" s="20" t="s">
        <v>226</v>
      </c>
      <c r="D71" s="35">
        <f>40/76</f>
        <v>0.5263157894736842</v>
      </c>
      <c r="E71" s="20" t="s">
        <v>253</v>
      </c>
      <c r="F71" s="35">
        <f>25/57</f>
        <v>0.43859649122807015</v>
      </c>
      <c r="G71" s="20" t="s">
        <v>254</v>
      </c>
      <c r="H71" s="35">
        <f>1/7</f>
        <v>0.14285714285714285</v>
      </c>
      <c r="I71" s="21">
        <v>41</v>
      </c>
      <c r="J71" s="40">
        <f>41/24</f>
        <v>1.7083333333333333</v>
      </c>
      <c r="K71" s="41">
        <v>69</v>
      </c>
      <c r="L71" s="40">
        <f>69/24</f>
        <v>2.875</v>
      </c>
      <c r="M71" s="42"/>
      <c r="N71" s="43">
        <v>28</v>
      </c>
      <c r="O71" s="1">
        <v>136</v>
      </c>
      <c r="P71" s="33">
        <f>136/24</f>
        <v>5.666666666666667</v>
      </c>
      <c r="Q71" s="1"/>
    </row>
    <row r="72" spans="1:18" ht="12.75">
      <c r="A72" s="11">
        <v>5</v>
      </c>
      <c r="B72" s="11" t="s">
        <v>44</v>
      </c>
      <c r="C72" s="17" t="s">
        <v>255</v>
      </c>
      <c r="D72" s="22">
        <f>44/70</f>
        <v>0.6285714285714286</v>
      </c>
      <c r="E72" s="17" t="s">
        <v>256</v>
      </c>
      <c r="F72" s="22">
        <f>28/88</f>
        <v>0.3181818181818182</v>
      </c>
      <c r="G72" s="17" t="s">
        <v>257</v>
      </c>
      <c r="H72" s="22">
        <f>7/23</f>
        <v>0.30434782608695654</v>
      </c>
      <c r="I72" s="12">
        <v>37</v>
      </c>
      <c r="J72" s="16">
        <f>37/25</f>
        <v>1.48</v>
      </c>
      <c r="K72" s="15">
        <v>20</v>
      </c>
      <c r="L72" s="16">
        <f>20/25</f>
        <v>0.8</v>
      </c>
      <c r="M72" s="33"/>
      <c r="N72" s="34">
        <v>-17</v>
      </c>
      <c r="O72" s="1">
        <v>84</v>
      </c>
      <c r="P72" s="33">
        <f>84/25</f>
        <v>3.36</v>
      </c>
      <c r="Q72" s="1"/>
      <c r="R72" t="s">
        <v>133</v>
      </c>
    </row>
    <row r="73" spans="1:17" ht="12.75">
      <c r="A73" s="11">
        <v>19</v>
      </c>
      <c r="B73" s="11" t="s">
        <v>107</v>
      </c>
      <c r="C73" s="17" t="s">
        <v>87</v>
      </c>
      <c r="D73" s="22">
        <f>1/2</f>
        <v>0.5</v>
      </c>
      <c r="E73" s="17" t="s">
        <v>87</v>
      </c>
      <c r="F73" s="22">
        <f>1/2</f>
        <v>0.5</v>
      </c>
      <c r="G73" s="17" t="s">
        <v>108</v>
      </c>
      <c r="H73" s="22">
        <f>0/1</f>
        <v>0</v>
      </c>
      <c r="I73" s="12">
        <v>1</v>
      </c>
      <c r="J73" s="16">
        <f>1/2</f>
        <v>0.5</v>
      </c>
      <c r="K73" s="15">
        <v>2</v>
      </c>
      <c r="L73" s="16">
        <f>2/2</f>
        <v>1</v>
      </c>
      <c r="M73" s="33"/>
      <c r="N73" s="34">
        <v>1</v>
      </c>
      <c r="O73" s="1">
        <v>5</v>
      </c>
      <c r="P73" s="33">
        <f>5/2</f>
        <v>2.5</v>
      </c>
      <c r="Q73" s="1"/>
    </row>
    <row r="74" spans="1:17" ht="12.75">
      <c r="A74" s="11">
        <v>8</v>
      </c>
      <c r="B74" s="11" t="s">
        <v>52</v>
      </c>
      <c r="C74" s="17" t="s">
        <v>258</v>
      </c>
      <c r="D74" s="22">
        <f>95/166</f>
        <v>0.572289156626506</v>
      </c>
      <c r="E74" s="70" t="s">
        <v>259</v>
      </c>
      <c r="F74" s="22">
        <f>128/235</f>
        <v>0.5446808510638298</v>
      </c>
      <c r="G74" s="17" t="s">
        <v>86</v>
      </c>
      <c r="H74" s="22">
        <v>0</v>
      </c>
      <c r="I74" s="12">
        <v>66</v>
      </c>
      <c r="J74" s="16">
        <f>66/28</f>
        <v>2.357142857142857</v>
      </c>
      <c r="K74" s="15">
        <v>53</v>
      </c>
      <c r="L74" s="16">
        <f>53/28</f>
        <v>1.8928571428571428</v>
      </c>
      <c r="M74" s="33"/>
      <c r="N74" s="34">
        <v>-13</v>
      </c>
      <c r="O74" s="6">
        <v>342</v>
      </c>
      <c r="P74" s="33">
        <f>342/28</f>
        <v>12.214285714285714</v>
      </c>
      <c r="Q74" s="1"/>
    </row>
    <row r="75" spans="1:17" ht="12.75">
      <c r="A75" s="11">
        <v>9</v>
      </c>
      <c r="B75" s="11" t="s">
        <v>53</v>
      </c>
      <c r="C75" s="17" t="s">
        <v>260</v>
      </c>
      <c r="D75" s="22">
        <f>62/95</f>
        <v>0.6526315789473685</v>
      </c>
      <c r="E75" s="17" t="s">
        <v>261</v>
      </c>
      <c r="F75" s="22">
        <f>62/124</f>
        <v>0.5</v>
      </c>
      <c r="G75" s="17" t="s">
        <v>262</v>
      </c>
      <c r="H75" s="22">
        <f>23/94</f>
        <v>0.24468085106382978</v>
      </c>
      <c r="I75" s="12">
        <v>40</v>
      </c>
      <c r="J75" s="16">
        <f>40/24</f>
        <v>1.6666666666666667</v>
      </c>
      <c r="K75" s="15">
        <v>51</v>
      </c>
      <c r="L75" s="16">
        <f>51/24</f>
        <v>2.125</v>
      </c>
      <c r="M75" s="33"/>
      <c r="N75" s="34">
        <v>11</v>
      </c>
      <c r="O75" s="6">
        <v>201</v>
      </c>
      <c r="P75" s="33">
        <f>201/24</f>
        <v>8.375</v>
      </c>
      <c r="Q75" s="1"/>
    </row>
    <row r="76" spans="1:17" ht="12.75">
      <c r="A76" s="11">
        <v>10</v>
      </c>
      <c r="B76" s="11" t="s">
        <v>32</v>
      </c>
      <c r="C76" s="17" t="s">
        <v>263</v>
      </c>
      <c r="D76" s="22">
        <f>29/45</f>
        <v>0.6444444444444445</v>
      </c>
      <c r="E76" s="17" t="s">
        <v>226</v>
      </c>
      <c r="F76" s="22">
        <f>40/76</f>
        <v>0.5263157894736842</v>
      </c>
      <c r="G76" s="17" t="s">
        <v>264</v>
      </c>
      <c r="H76" s="22">
        <f>48/141</f>
        <v>0.3404255319148936</v>
      </c>
      <c r="I76" s="12">
        <v>35</v>
      </c>
      <c r="J76" s="16">
        <f>35/25</f>
        <v>1.4</v>
      </c>
      <c r="K76" s="15">
        <v>32</v>
      </c>
      <c r="L76" s="16">
        <f>32/25</f>
        <v>1.28</v>
      </c>
      <c r="M76" s="33"/>
      <c r="N76" s="34">
        <v>-3</v>
      </c>
      <c r="O76" s="6">
        <v>145</v>
      </c>
      <c r="P76" s="33">
        <f>145/25</f>
        <v>5.8</v>
      </c>
      <c r="Q76" s="1"/>
    </row>
    <row r="77" spans="1:17" ht="12.75">
      <c r="A77" s="11">
        <v>11</v>
      </c>
      <c r="B77" s="11" t="s">
        <v>35</v>
      </c>
      <c r="C77" s="17" t="s">
        <v>211</v>
      </c>
      <c r="D77" s="22">
        <f>2/5</f>
        <v>0.4</v>
      </c>
      <c r="E77" s="17" t="s">
        <v>265</v>
      </c>
      <c r="F77" s="22">
        <f>26/66</f>
        <v>0.3939393939393939</v>
      </c>
      <c r="G77" s="17" t="s">
        <v>86</v>
      </c>
      <c r="H77" s="22">
        <v>0</v>
      </c>
      <c r="I77" s="12">
        <v>22</v>
      </c>
      <c r="J77" s="16">
        <f>22/21</f>
        <v>1.0476190476190477</v>
      </c>
      <c r="K77" s="15">
        <v>18</v>
      </c>
      <c r="L77" s="16">
        <f>18/21</f>
        <v>0.8571428571428571</v>
      </c>
      <c r="M77" s="33"/>
      <c r="N77" s="34">
        <v>-4</v>
      </c>
      <c r="O77" s="6">
        <v>47</v>
      </c>
      <c r="P77" s="33">
        <f>47/21</f>
        <v>2.238095238095238</v>
      </c>
      <c r="Q77" s="1"/>
    </row>
    <row r="78" spans="1:17" ht="12.75">
      <c r="A78" s="11">
        <v>12</v>
      </c>
      <c r="B78" s="11" t="s">
        <v>55</v>
      </c>
      <c r="C78" s="17" t="s">
        <v>108</v>
      </c>
      <c r="D78" s="22">
        <f>0</f>
        <v>0</v>
      </c>
      <c r="E78" s="17" t="s">
        <v>109</v>
      </c>
      <c r="F78" s="22">
        <f>1/1</f>
        <v>1</v>
      </c>
      <c r="G78" s="17" t="s">
        <v>108</v>
      </c>
      <c r="H78" s="22">
        <v>0</v>
      </c>
      <c r="I78" s="12">
        <v>1</v>
      </c>
      <c r="J78" s="16">
        <f>1/1</f>
        <v>1</v>
      </c>
      <c r="K78" s="15">
        <v>1</v>
      </c>
      <c r="L78" s="16">
        <f>1/1</f>
        <v>1</v>
      </c>
      <c r="M78" s="33"/>
      <c r="N78" s="34">
        <v>0</v>
      </c>
      <c r="O78" s="6">
        <v>3</v>
      </c>
      <c r="P78" s="33">
        <f>3/1</f>
        <v>3</v>
      </c>
      <c r="Q78" s="1"/>
    </row>
    <row r="79" spans="1:18" ht="12.75">
      <c r="A79" s="11">
        <v>13</v>
      </c>
      <c r="B79" s="11" t="s">
        <v>45</v>
      </c>
      <c r="C79" s="17" t="s">
        <v>88</v>
      </c>
      <c r="D79" s="22">
        <f>2/4</f>
        <v>0.5</v>
      </c>
      <c r="E79" s="17" t="s">
        <v>89</v>
      </c>
      <c r="F79" s="22">
        <f>5/12</f>
        <v>0.4166666666666667</v>
      </c>
      <c r="G79" s="17" t="s">
        <v>93</v>
      </c>
      <c r="H79" s="22">
        <f>5/15</f>
        <v>0.3333333333333333</v>
      </c>
      <c r="I79" s="12">
        <v>8</v>
      </c>
      <c r="J79" s="16">
        <f>8/4</f>
        <v>2</v>
      </c>
      <c r="K79" s="15">
        <v>3</v>
      </c>
      <c r="L79" s="16">
        <f>3/4</f>
        <v>0.75</v>
      </c>
      <c r="M79" s="33"/>
      <c r="N79" s="34">
        <v>-5</v>
      </c>
      <c r="O79" s="1">
        <v>4</v>
      </c>
      <c r="P79" s="33">
        <f>4/4</f>
        <v>1</v>
      </c>
      <c r="Q79" s="1"/>
      <c r="R79" t="s">
        <v>90</v>
      </c>
    </row>
    <row r="80" spans="1:17" ht="12.75">
      <c r="A80" s="11">
        <v>14</v>
      </c>
      <c r="B80" s="11" t="s">
        <v>54</v>
      </c>
      <c r="C80" s="17" t="s">
        <v>266</v>
      </c>
      <c r="D80" s="22">
        <f>6/8</f>
        <v>0.75</v>
      </c>
      <c r="E80" s="17" t="s">
        <v>199</v>
      </c>
      <c r="F80" s="22">
        <f>4/8</f>
        <v>0.5</v>
      </c>
      <c r="G80" s="17" t="s">
        <v>267</v>
      </c>
      <c r="H80" s="22">
        <f>7/15</f>
        <v>0.4666666666666667</v>
      </c>
      <c r="I80" s="12">
        <v>12</v>
      </c>
      <c r="J80" s="16">
        <f>12/6</f>
        <v>2</v>
      </c>
      <c r="K80" s="15">
        <v>4</v>
      </c>
      <c r="L80" s="16">
        <f>4/6</f>
        <v>0.6666666666666666</v>
      </c>
      <c r="M80" s="33"/>
      <c r="N80" s="34">
        <v>-8</v>
      </c>
      <c r="O80" s="1">
        <v>26</v>
      </c>
      <c r="P80" s="33">
        <f>26/6</f>
        <v>4.333333333333333</v>
      </c>
      <c r="Q80" s="1"/>
    </row>
    <row r="81" spans="1:17" ht="12.75">
      <c r="A81" s="11">
        <v>15</v>
      </c>
      <c r="B81" s="11" t="s">
        <v>46</v>
      </c>
      <c r="C81" s="17" t="s">
        <v>86</v>
      </c>
      <c r="D81" s="22">
        <v>0</v>
      </c>
      <c r="E81" s="17" t="s">
        <v>86</v>
      </c>
      <c r="F81" s="22">
        <v>0</v>
      </c>
      <c r="G81" s="17" t="s">
        <v>86</v>
      </c>
      <c r="H81" s="22">
        <v>0</v>
      </c>
      <c r="I81" s="12">
        <v>4</v>
      </c>
      <c r="J81" s="16">
        <f>4/4</f>
        <v>1</v>
      </c>
      <c r="K81" s="15">
        <v>2</v>
      </c>
      <c r="L81" s="16">
        <f>2/4</f>
        <v>0.5</v>
      </c>
      <c r="M81" s="33"/>
      <c r="N81" s="34">
        <v>-2</v>
      </c>
      <c r="O81" s="1">
        <v>3</v>
      </c>
      <c r="P81" s="33">
        <f>3/4</f>
        <v>0.75</v>
      </c>
      <c r="Q81" s="1"/>
    </row>
    <row r="82" spans="1:17" ht="12.75">
      <c r="A82" s="11">
        <v>16</v>
      </c>
      <c r="B82" s="11" t="s">
        <v>33</v>
      </c>
      <c r="C82" s="17" t="s">
        <v>268</v>
      </c>
      <c r="D82" s="22">
        <f>56/67</f>
        <v>0.835820895522388</v>
      </c>
      <c r="E82" s="17" t="s">
        <v>269</v>
      </c>
      <c r="F82" s="22">
        <f>58/128</f>
        <v>0.453125</v>
      </c>
      <c r="G82" s="17" t="s">
        <v>206</v>
      </c>
      <c r="H82" s="22">
        <f>3/15</f>
        <v>0.2</v>
      </c>
      <c r="I82" s="12">
        <v>28</v>
      </c>
      <c r="J82" s="16">
        <f>28/24</f>
        <v>1.1666666666666667</v>
      </c>
      <c r="K82" s="15">
        <v>25</v>
      </c>
      <c r="L82" s="16">
        <f>25/24</f>
        <v>1.0416666666666667</v>
      </c>
      <c r="M82" s="33"/>
      <c r="N82" s="34">
        <v>-3</v>
      </c>
      <c r="O82" s="1">
        <v>202</v>
      </c>
      <c r="P82" s="33">
        <f>202/24</f>
        <v>8.416666666666666</v>
      </c>
      <c r="Q82" s="1"/>
    </row>
    <row r="83" spans="1:18" ht="12.75">
      <c r="A83" s="11">
        <v>20</v>
      </c>
      <c r="B83" s="11" t="s">
        <v>50</v>
      </c>
      <c r="C83" s="17" t="s">
        <v>212</v>
      </c>
      <c r="D83" s="22">
        <f>34/52</f>
        <v>0.6538461538461539</v>
      </c>
      <c r="E83" s="17" t="s">
        <v>270</v>
      </c>
      <c r="F83" s="22">
        <f>27/55</f>
        <v>0.4909090909090909</v>
      </c>
      <c r="G83" s="17" t="s">
        <v>216</v>
      </c>
      <c r="H83" s="22">
        <f>5/23</f>
        <v>0.21739130434782608</v>
      </c>
      <c r="I83" s="12">
        <v>31</v>
      </c>
      <c r="J83" s="16">
        <f>31/26</f>
        <v>1.1923076923076923</v>
      </c>
      <c r="K83" s="15">
        <v>44</v>
      </c>
      <c r="L83" s="16">
        <f>44/26</f>
        <v>1.6923076923076923</v>
      </c>
      <c r="M83" s="33"/>
      <c r="N83" s="34">
        <v>13</v>
      </c>
      <c r="O83" s="1">
        <v>109</v>
      </c>
      <c r="P83" s="33">
        <f>109/26</f>
        <v>4.1923076923076925</v>
      </c>
      <c r="Q83" s="1"/>
      <c r="R83" t="s">
        <v>90</v>
      </c>
    </row>
    <row r="84" spans="1:18" ht="12.75">
      <c r="A84" s="11">
        <v>24</v>
      </c>
      <c r="B84" s="29" t="s">
        <v>34</v>
      </c>
      <c r="C84" s="17" t="s">
        <v>271</v>
      </c>
      <c r="D84" s="22">
        <f>71/135</f>
        <v>0.5259259259259259</v>
      </c>
      <c r="E84" s="17" t="s">
        <v>272</v>
      </c>
      <c r="F84" s="22">
        <f>59/124</f>
        <v>0.47580645161290325</v>
      </c>
      <c r="G84" s="17" t="s">
        <v>273</v>
      </c>
      <c r="H84" s="22">
        <f>23/72</f>
        <v>0.3194444444444444</v>
      </c>
      <c r="I84" s="12">
        <v>37</v>
      </c>
      <c r="J84" s="16">
        <f>37/23</f>
        <v>1.608695652173913</v>
      </c>
      <c r="K84" s="15">
        <v>55</v>
      </c>
      <c r="L84" s="16">
        <f>55/23</f>
        <v>2.391304347826087</v>
      </c>
      <c r="M84" s="33"/>
      <c r="N84" s="34">
        <v>18</v>
      </c>
      <c r="O84" s="1">
        <v>316</v>
      </c>
      <c r="P84" s="33">
        <f>316/23</f>
        <v>13.73913043478261</v>
      </c>
      <c r="Q84" s="1"/>
      <c r="R84" t="s">
        <v>133</v>
      </c>
    </row>
    <row r="85" spans="1:18" ht="12.75">
      <c r="A85" s="11">
        <v>42</v>
      </c>
      <c r="B85" s="11" t="s">
        <v>56</v>
      </c>
      <c r="C85" s="17" t="s">
        <v>274</v>
      </c>
      <c r="D85" s="22">
        <f>117/168</f>
        <v>0.6964285714285714</v>
      </c>
      <c r="E85" s="17" t="s">
        <v>275</v>
      </c>
      <c r="F85" s="22">
        <f>100/171</f>
        <v>0.5847953216374269</v>
      </c>
      <c r="G85" s="17" t="s">
        <v>276</v>
      </c>
      <c r="H85" s="22">
        <f>4/21</f>
        <v>0.19047619047619047</v>
      </c>
      <c r="I85" s="12">
        <v>54</v>
      </c>
      <c r="J85" s="16">
        <f>54/28</f>
        <v>1.9285714285714286</v>
      </c>
      <c r="K85" s="15">
        <v>30</v>
      </c>
      <c r="L85" s="16">
        <f>30/28</f>
        <v>1.0714285714285714</v>
      </c>
      <c r="M85" s="33"/>
      <c r="N85" s="34">
        <v>-24</v>
      </c>
      <c r="O85" s="1">
        <v>382</v>
      </c>
      <c r="P85" s="33">
        <f>382/28</f>
        <v>13.642857142857142</v>
      </c>
      <c r="Q85" s="1"/>
      <c r="R85" t="s">
        <v>133</v>
      </c>
    </row>
    <row r="86" spans="1:17" ht="12.75">
      <c r="A86" s="11">
        <v>6</v>
      </c>
      <c r="B86" s="11" t="s">
        <v>158</v>
      </c>
      <c r="C86" s="17" t="s">
        <v>183</v>
      </c>
      <c r="D86" s="22">
        <f>3/5</f>
        <v>0.6</v>
      </c>
      <c r="E86" s="17" t="s">
        <v>200</v>
      </c>
      <c r="F86" s="22">
        <f>5/7</f>
        <v>0.7142857142857143</v>
      </c>
      <c r="G86" s="17" t="s">
        <v>184</v>
      </c>
      <c r="H86" s="22">
        <f>0/2</f>
        <v>0</v>
      </c>
      <c r="I86" s="12">
        <v>3</v>
      </c>
      <c r="J86" s="16">
        <f>3/9</f>
        <v>0.3333333333333333</v>
      </c>
      <c r="K86" s="15">
        <v>13</v>
      </c>
      <c r="L86" s="16">
        <f>13/9</f>
        <v>1.4444444444444444</v>
      </c>
      <c r="M86" s="33"/>
      <c r="N86" s="34">
        <v>10</v>
      </c>
      <c r="O86" s="1">
        <v>34</v>
      </c>
      <c r="P86" s="33">
        <f>34/9</f>
        <v>3.7777777777777777</v>
      </c>
      <c r="Q86" s="1"/>
    </row>
    <row r="87" spans="1:17" ht="12.75">
      <c r="A87" s="11">
        <v>21</v>
      </c>
      <c r="B87" s="11" t="s">
        <v>223</v>
      </c>
      <c r="C87" s="17" t="s">
        <v>86</v>
      </c>
      <c r="D87" s="22">
        <v>0</v>
      </c>
      <c r="E87" s="17" t="s">
        <v>87</v>
      </c>
      <c r="F87" s="22">
        <f>1/2</f>
        <v>0.5</v>
      </c>
      <c r="G87" s="17" t="s">
        <v>86</v>
      </c>
      <c r="H87" s="22">
        <v>0</v>
      </c>
      <c r="I87" s="12">
        <v>0</v>
      </c>
      <c r="J87" s="16">
        <v>0</v>
      </c>
      <c r="K87" s="15">
        <v>1</v>
      </c>
      <c r="L87" s="16">
        <f>1/1</f>
        <v>1</v>
      </c>
      <c r="M87" s="16"/>
      <c r="N87" s="44">
        <v>1</v>
      </c>
      <c r="O87" s="76">
        <v>4</v>
      </c>
      <c r="P87" s="33">
        <f>4/1</f>
        <v>4</v>
      </c>
      <c r="Q87" s="1"/>
    </row>
    <row r="88" spans="1:17" ht="12.75">
      <c r="A88" s="11">
        <v>22</v>
      </c>
      <c r="B88" s="29" t="s">
        <v>224</v>
      </c>
      <c r="C88" s="17" t="s">
        <v>225</v>
      </c>
      <c r="D88" s="22">
        <f>2/2</f>
        <v>1</v>
      </c>
      <c r="E88" s="17" t="s">
        <v>183</v>
      </c>
      <c r="F88" s="22">
        <f>3/5</f>
        <v>0.6</v>
      </c>
      <c r="G88" s="17" t="s">
        <v>86</v>
      </c>
      <c r="H88" s="45">
        <v>0</v>
      </c>
      <c r="I88" s="17">
        <v>1</v>
      </c>
      <c r="J88" s="16">
        <f>1/2</f>
        <v>0.5</v>
      </c>
      <c r="K88" s="18">
        <v>1</v>
      </c>
      <c r="L88" s="16">
        <f>1/2</f>
        <v>0.5</v>
      </c>
      <c r="M88" s="16"/>
      <c r="N88" s="44">
        <v>0</v>
      </c>
      <c r="O88" s="76">
        <v>10</v>
      </c>
      <c r="P88" s="33">
        <f>10/2</f>
        <v>5</v>
      </c>
      <c r="Q88" s="1"/>
    </row>
    <row r="89" spans="1:17" ht="12.75">
      <c r="A89" s="11"/>
      <c r="B89" s="11"/>
      <c r="C89" s="17"/>
      <c r="D89" s="22"/>
      <c r="E89" s="17"/>
      <c r="F89" s="22"/>
      <c r="G89" s="17"/>
      <c r="H89" s="22"/>
      <c r="I89" s="12"/>
      <c r="J89" s="16"/>
      <c r="K89" s="15"/>
      <c r="L89" s="16"/>
      <c r="M89" s="16"/>
      <c r="N89" s="44"/>
      <c r="O89" s="1"/>
      <c r="P89" s="33"/>
      <c r="Q89" s="1"/>
    </row>
    <row r="90" spans="3:17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2009-05-30T09:00:00Z</cp:lastPrinted>
  <dcterms:created xsi:type="dcterms:W3CDTF">2007-11-12T19:51:33Z</dcterms:created>
  <dcterms:modified xsi:type="dcterms:W3CDTF">2009-05-30T19:20:50Z</dcterms:modified>
  <cp:category/>
  <cp:version/>
  <cp:contentType/>
  <cp:contentStatus/>
</cp:coreProperties>
</file>