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<sst xmlns="http://schemas.openxmlformats.org/spreadsheetml/2006/main" count="349" uniqueCount="278">
  <si>
    <t xml:space="preserve">STATISTICHE DI SQUADRA </t>
  </si>
  <si>
    <t xml:space="preserve">GIORNATA </t>
  </si>
  <si>
    <t xml:space="preserve">PARTITA </t>
  </si>
  <si>
    <t>T 2</t>
  </si>
  <si>
    <t>% T2</t>
  </si>
  <si>
    <t>T3</t>
  </si>
  <si>
    <t>% T3</t>
  </si>
  <si>
    <t>TL</t>
  </si>
  <si>
    <t>% TL</t>
  </si>
  <si>
    <t>RIM. D.</t>
  </si>
  <si>
    <t>RIM. O</t>
  </si>
  <si>
    <t>PP</t>
  </si>
  <si>
    <t>RE</t>
  </si>
  <si>
    <t>STOP</t>
  </si>
  <si>
    <t>ASS</t>
  </si>
  <si>
    <t>FALLI</t>
  </si>
  <si>
    <t>VAL.</t>
  </si>
  <si>
    <t>2v4</t>
  </si>
  <si>
    <t>Csi Sasso Marconi</t>
  </si>
  <si>
    <t>18su26</t>
  </si>
  <si>
    <t>7su21</t>
  </si>
  <si>
    <t>miglior prestazione</t>
  </si>
  <si>
    <t>peggior prestazione</t>
  </si>
  <si>
    <t>maglia</t>
  </si>
  <si>
    <t>Giocatore</t>
  </si>
  <si>
    <t>Giocate</t>
  </si>
  <si>
    <t>Punti</t>
  </si>
  <si>
    <t>media p.</t>
  </si>
  <si>
    <t>Falli c</t>
  </si>
  <si>
    <t xml:space="preserve">media </t>
  </si>
  <si>
    <t>Falli s</t>
  </si>
  <si>
    <t>RD</t>
  </si>
  <si>
    <t>RO</t>
  </si>
  <si>
    <t>RT</t>
  </si>
  <si>
    <t>media</t>
  </si>
  <si>
    <t>Assist</t>
  </si>
  <si>
    <t>Farne' Giacomo</t>
  </si>
  <si>
    <t>Benetti Fabrizio</t>
  </si>
  <si>
    <t>Molinazzi Nicola</t>
  </si>
  <si>
    <t>Branchini Mauro</t>
  </si>
  <si>
    <t>Cavallo Sergio</t>
  </si>
  <si>
    <t>Fascetti Leon Lorenzo</t>
  </si>
  <si>
    <t>Matteuzzi Fabio</t>
  </si>
  <si>
    <t>Stagni Mauro</t>
  </si>
  <si>
    <t>tiri liberi</t>
  </si>
  <si>
    <t>%TL</t>
  </si>
  <si>
    <t>T2</t>
  </si>
  <si>
    <t xml:space="preserve">RE </t>
  </si>
  <si>
    <t>saldo RE- PP</t>
  </si>
  <si>
    <t>Val</t>
  </si>
  <si>
    <t>0su0</t>
  </si>
  <si>
    <t>1C 72-51</t>
  </si>
  <si>
    <t>2T 65-56</t>
  </si>
  <si>
    <t>3C 83-60</t>
  </si>
  <si>
    <t>4T 66-58</t>
  </si>
  <si>
    <t>Atletico Basket</t>
  </si>
  <si>
    <t>Antal Pallavicini</t>
  </si>
  <si>
    <t>CEM Modena</t>
  </si>
  <si>
    <t>18su36</t>
  </si>
  <si>
    <t>17su34</t>
  </si>
  <si>
    <t>21su37</t>
  </si>
  <si>
    <t>18su44</t>
  </si>
  <si>
    <t>6su19</t>
  </si>
  <si>
    <t>4su14</t>
  </si>
  <si>
    <t>4su17</t>
  </si>
  <si>
    <t>19su37</t>
  </si>
  <si>
    <t>20su26</t>
  </si>
  <si>
    <t>18su27</t>
  </si>
  <si>
    <t>2v2</t>
  </si>
  <si>
    <t>1v3</t>
  </si>
  <si>
    <t>4v2</t>
  </si>
  <si>
    <t>c        s</t>
  </si>
  <si>
    <t>27-27</t>
  </si>
  <si>
    <t>22-23</t>
  </si>
  <si>
    <t>21-21</t>
  </si>
  <si>
    <t>16-23</t>
  </si>
  <si>
    <t>Biondi Paolo</t>
  </si>
  <si>
    <t>Orlich Alessandro</t>
  </si>
  <si>
    <t>Bagossi Mirco</t>
  </si>
  <si>
    <t>Capra Stephane</t>
  </si>
  <si>
    <t>Guidotti Gianluca</t>
  </si>
  <si>
    <t>Caprini Lorenzo</t>
  </si>
  <si>
    <t>19bis</t>
  </si>
  <si>
    <t>Rocco Giovanni</t>
  </si>
  <si>
    <t>Minuti</t>
  </si>
  <si>
    <t>St.d</t>
  </si>
  <si>
    <t>St.s</t>
  </si>
  <si>
    <t>0su2</t>
  </si>
  <si>
    <t>1 esp</t>
  </si>
  <si>
    <t>7su11</t>
  </si>
  <si>
    <t>5C 87-63</t>
  </si>
  <si>
    <t>Monte San Pietro</t>
  </si>
  <si>
    <t>20su35</t>
  </si>
  <si>
    <t>10su24</t>
  </si>
  <si>
    <t>17su22</t>
  </si>
  <si>
    <t>2v1</t>
  </si>
  <si>
    <t>21-17</t>
  </si>
  <si>
    <t>2su3</t>
  </si>
  <si>
    <t>6T 73-47</t>
  </si>
  <si>
    <t>Show Time Calderara</t>
  </si>
  <si>
    <t>24su38</t>
  </si>
  <si>
    <t>6su29</t>
  </si>
  <si>
    <t>4v1</t>
  </si>
  <si>
    <t>10 13</t>
  </si>
  <si>
    <t>7C 67-49</t>
  </si>
  <si>
    <t>UP Calderara</t>
  </si>
  <si>
    <t>15su39</t>
  </si>
  <si>
    <t>7su19</t>
  </si>
  <si>
    <t>16su23</t>
  </si>
  <si>
    <t>18-21</t>
  </si>
  <si>
    <t>8T 69-65</t>
  </si>
  <si>
    <t>9T 72-48</t>
  </si>
  <si>
    <t>10C 68-65</t>
  </si>
  <si>
    <t>US Carpine</t>
  </si>
  <si>
    <t xml:space="preserve">Tema Basket </t>
  </si>
  <si>
    <t>PGS Welcome</t>
  </si>
  <si>
    <t>15su34</t>
  </si>
  <si>
    <t>4su16</t>
  </si>
  <si>
    <t>27su41</t>
  </si>
  <si>
    <t>25su50</t>
  </si>
  <si>
    <t>2su14</t>
  </si>
  <si>
    <t>16su28</t>
  </si>
  <si>
    <t>1v0</t>
  </si>
  <si>
    <t>16-32</t>
  </si>
  <si>
    <t>18su33</t>
  </si>
  <si>
    <t>5su18</t>
  </si>
  <si>
    <t>17su27</t>
  </si>
  <si>
    <t>4v0</t>
  </si>
  <si>
    <t>14-19</t>
  </si>
  <si>
    <t>0su1</t>
  </si>
  <si>
    <t>14su22</t>
  </si>
  <si>
    <t>8su17</t>
  </si>
  <si>
    <t>0su5</t>
  </si>
  <si>
    <t>11T 57-51</t>
  </si>
  <si>
    <t>Pol. Serena 80</t>
  </si>
  <si>
    <t>16su43</t>
  </si>
  <si>
    <t>13su32</t>
  </si>
  <si>
    <t>3v2</t>
  </si>
  <si>
    <t>23-26</t>
  </si>
  <si>
    <t>Bergami Matteo</t>
  </si>
  <si>
    <t>8su25</t>
  </si>
  <si>
    <t>25su28</t>
  </si>
  <si>
    <t>0su6</t>
  </si>
  <si>
    <t>12T 55-69</t>
  </si>
  <si>
    <t>13su28</t>
  </si>
  <si>
    <t>4su22</t>
  </si>
  <si>
    <t>17su30</t>
  </si>
  <si>
    <t>5v2</t>
  </si>
  <si>
    <t>13C 57-46</t>
  </si>
  <si>
    <t>17su42</t>
  </si>
  <si>
    <t>3su15</t>
  </si>
  <si>
    <t>14su18</t>
  </si>
  <si>
    <t>6v1</t>
  </si>
  <si>
    <t>19-17</t>
  </si>
  <si>
    <t>14T 59-40</t>
  </si>
  <si>
    <t>16su38</t>
  </si>
  <si>
    <t>7su17</t>
  </si>
  <si>
    <t>6su17</t>
  </si>
  <si>
    <t>5v1</t>
  </si>
  <si>
    <t>20-20</t>
  </si>
  <si>
    <t>15C 71-69</t>
  </si>
  <si>
    <t>16su41</t>
  </si>
  <si>
    <t>1su13</t>
  </si>
  <si>
    <t>36su49</t>
  </si>
  <si>
    <t>3v1</t>
  </si>
  <si>
    <t>19-31</t>
  </si>
  <si>
    <t>16T 67-44</t>
  </si>
  <si>
    <t>17C 90-51</t>
  </si>
  <si>
    <t>16su42</t>
  </si>
  <si>
    <t>11su21</t>
  </si>
  <si>
    <t>0v0</t>
  </si>
  <si>
    <t>18-20</t>
  </si>
  <si>
    <t>28su47</t>
  </si>
  <si>
    <t>5su13</t>
  </si>
  <si>
    <t>19su29</t>
  </si>
  <si>
    <t>4v3</t>
  </si>
  <si>
    <t>10 20</t>
  </si>
  <si>
    <t>10su13</t>
  </si>
  <si>
    <t>21su36</t>
  </si>
  <si>
    <t>41su76</t>
  </si>
  <si>
    <t>6su14</t>
  </si>
  <si>
    <t>18T 66-47</t>
  </si>
  <si>
    <t>19C 67-57</t>
  </si>
  <si>
    <t>20C 76-64</t>
  </si>
  <si>
    <t>17su40</t>
  </si>
  <si>
    <t>4su20</t>
  </si>
  <si>
    <t>20su37</t>
  </si>
  <si>
    <t>23-24</t>
  </si>
  <si>
    <t>19su31</t>
  </si>
  <si>
    <t>3su16</t>
  </si>
  <si>
    <t>20su30</t>
  </si>
  <si>
    <t>0v2</t>
  </si>
  <si>
    <t>16-25</t>
  </si>
  <si>
    <t>8su24</t>
  </si>
  <si>
    <t>10su17</t>
  </si>
  <si>
    <t>1v1</t>
  </si>
  <si>
    <t>15-19</t>
  </si>
  <si>
    <t>21 T 59-69</t>
  </si>
  <si>
    <t>22C 64-47</t>
  </si>
  <si>
    <t>24su47</t>
  </si>
  <si>
    <t>11su22</t>
  </si>
  <si>
    <t>16-17</t>
  </si>
  <si>
    <t>22su46</t>
  </si>
  <si>
    <t>3su14</t>
  </si>
  <si>
    <t>11su14</t>
  </si>
  <si>
    <t>18-17</t>
  </si>
  <si>
    <t>9bis</t>
  </si>
  <si>
    <t>Vastola Riccardo</t>
  </si>
  <si>
    <t>Bellini Alessandro</t>
  </si>
  <si>
    <t>0su8</t>
  </si>
  <si>
    <t>qdf F 61-40</t>
  </si>
  <si>
    <t>qdf C 71-70</t>
  </si>
  <si>
    <t>Pall. Gallo</t>
  </si>
  <si>
    <t>2su19</t>
  </si>
  <si>
    <t>19su32</t>
  </si>
  <si>
    <t>18-26</t>
  </si>
  <si>
    <t>15su41</t>
  </si>
  <si>
    <t>10su22</t>
  </si>
  <si>
    <t>11su26</t>
  </si>
  <si>
    <t>2v3</t>
  </si>
  <si>
    <t>19-18</t>
  </si>
  <si>
    <t>14su24</t>
  </si>
  <si>
    <t>4su8</t>
  </si>
  <si>
    <t>1su9</t>
  </si>
  <si>
    <t>s. F 63-67</t>
  </si>
  <si>
    <t>s. C 58-63</t>
  </si>
  <si>
    <t>TOTALE</t>
  </si>
  <si>
    <t>13su33</t>
  </si>
  <si>
    <t>23su35</t>
  </si>
  <si>
    <t>6v7</t>
  </si>
  <si>
    <t>22-25</t>
  </si>
  <si>
    <t>18su35</t>
  </si>
  <si>
    <t>4su12</t>
  </si>
  <si>
    <t>15su27</t>
  </si>
  <si>
    <t>0v4</t>
  </si>
  <si>
    <t>31-27</t>
  </si>
  <si>
    <t>40su75</t>
  </si>
  <si>
    <t>29su61</t>
  </si>
  <si>
    <t>70su92</t>
  </si>
  <si>
    <t>41su103</t>
  </si>
  <si>
    <t>7su28</t>
  </si>
  <si>
    <t>3 esp</t>
  </si>
  <si>
    <t>16su36</t>
  </si>
  <si>
    <t>12su41</t>
  </si>
  <si>
    <t>17su24</t>
  </si>
  <si>
    <t>24su42</t>
  </si>
  <si>
    <t>30su107</t>
  </si>
  <si>
    <t>26su33</t>
  </si>
  <si>
    <t>70su126</t>
  </si>
  <si>
    <t>35su124</t>
  </si>
  <si>
    <t>86su125</t>
  </si>
  <si>
    <t>63su108</t>
  </si>
  <si>
    <t>25su75</t>
  </si>
  <si>
    <t>16su40</t>
  </si>
  <si>
    <t>26su77</t>
  </si>
  <si>
    <t>1su4</t>
  </si>
  <si>
    <t>11su16</t>
  </si>
  <si>
    <t>52su122</t>
  </si>
  <si>
    <t>58su129</t>
  </si>
  <si>
    <t>12su48</t>
  </si>
  <si>
    <t>39su62</t>
  </si>
  <si>
    <t>58su126</t>
  </si>
  <si>
    <t>22V 4P</t>
  </si>
  <si>
    <t>M 23,3</t>
  </si>
  <si>
    <t>M 7,9</t>
  </si>
  <si>
    <t>M 14</t>
  </si>
  <si>
    <t>M 16</t>
  </si>
  <si>
    <t>M 5,7</t>
  </si>
  <si>
    <t>M 67,12</t>
  </si>
  <si>
    <t>486-572</t>
  </si>
  <si>
    <t>18,7-22,0</t>
  </si>
  <si>
    <t>65V47</t>
  </si>
  <si>
    <t>2,5-1,8</t>
  </si>
  <si>
    <t>480su1006</t>
  </si>
  <si>
    <t>124su464</t>
  </si>
  <si>
    <t>431su704</t>
  </si>
  <si>
    <t>punti: 1763-1456</t>
  </si>
  <si>
    <t>67,8-56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</si>
</sst>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  <numFmt numFmtId="166" formatCode="[$-410]dddd\ d\ mmmm\ yyyy"/>
    <numFmt numFmtId="167" formatCode="h\.mm\.ss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7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0" fillId="3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4" fontId="1" fillId="0" borderId="3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0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0" fontId="0" fillId="0" borderId="0" xfId="0" applyNumberForma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1" fontId="0" fillId="5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5" borderId="0" xfId="0" applyNumberFormat="1" applyFont="1" applyFill="1" applyAlignment="1">
      <alignment horizontal="center"/>
    </xf>
    <xf numFmtId="164" fontId="0" fillId="5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13</xdr:col>
      <xdr:colOff>381000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7010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selection activeCell="F1" sqref="F1"/>
    </sheetView>
  </sheetViews>
  <sheetFormatPr defaultColWidth="9.140625" defaultRowHeight="12.75"/>
  <cols>
    <col min="1" max="1" width="9.8515625" style="0" customWidth="1"/>
    <col min="2" max="2" width="17.8515625" style="0" customWidth="1"/>
    <col min="3" max="3" width="8.7109375" style="0" customWidth="1"/>
    <col min="4" max="4" width="7.28125" style="0" customWidth="1"/>
    <col min="5" max="5" width="8.00390625" style="0" customWidth="1"/>
    <col min="6" max="6" width="7.00390625" style="0" customWidth="1"/>
    <col min="7" max="7" width="8.00390625" style="0" customWidth="1"/>
    <col min="8" max="8" width="7.7109375" style="0" customWidth="1"/>
    <col min="9" max="9" width="7.421875" style="0" customWidth="1"/>
    <col min="10" max="10" width="6.7109375" style="0" customWidth="1"/>
    <col min="11" max="11" width="6.8515625" style="0" customWidth="1"/>
    <col min="12" max="12" width="7.421875" style="0" customWidth="1"/>
    <col min="13" max="14" width="6.8515625" style="0" customWidth="1"/>
    <col min="15" max="15" width="7.421875" style="0" customWidth="1"/>
    <col min="16" max="16" width="6.57421875" style="0" customWidth="1"/>
    <col min="17" max="17" width="4.8515625" style="0" customWidth="1"/>
    <col min="18" max="18" width="5.57421875" style="0" customWidth="1"/>
  </cols>
  <sheetData>
    <row r="1" spans="2:14" ht="12.75">
      <c r="B1" s="1"/>
      <c r="K1" s="2"/>
      <c r="M1" s="3"/>
      <c r="N1" s="2"/>
    </row>
    <row r="2" spans="11:14" ht="12.75">
      <c r="K2" s="2"/>
      <c r="M2" s="3"/>
      <c r="N2" s="2"/>
    </row>
    <row r="3" spans="11:14" ht="12.75">
      <c r="K3" s="2"/>
      <c r="M3" s="3"/>
      <c r="N3" s="2"/>
    </row>
    <row r="4" spans="11:14" ht="12.75">
      <c r="K4" s="2"/>
      <c r="M4" s="3"/>
      <c r="N4" s="2"/>
    </row>
    <row r="5" spans="11:14" ht="12.75">
      <c r="K5" s="2"/>
      <c r="M5" s="3"/>
      <c r="N5" s="2"/>
    </row>
    <row r="6" spans="11:14" ht="12.75">
      <c r="K6" s="2"/>
      <c r="M6" s="3"/>
      <c r="N6" s="2"/>
    </row>
    <row r="7" spans="11:14" ht="12.75">
      <c r="K7" s="2"/>
      <c r="M7" s="3"/>
      <c r="N7" s="2"/>
    </row>
    <row r="8" spans="11:14" ht="12.75">
      <c r="K8" s="2"/>
      <c r="M8" s="3"/>
      <c r="N8" s="2"/>
    </row>
    <row r="9" spans="11:14" ht="12.75">
      <c r="K9" s="2"/>
      <c r="M9" s="3"/>
      <c r="N9" s="2"/>
    </row>
    <row r="10" spans="11:14" ht="12.75">
      <c r="K10" s="2"/>
      <c r="M10" s="3"/>
      <c r="N10" s="2"/>
    </row>
    <row r="11" spans="1:14" ht="12.75">
      <c r="A11" s="4" t="s">
        <v>0</v>
      </c>
      <c r="B11" s="5"/>
      <c r="C11" s="6"/>
      <c r="K11" s="2"/>
      <c r="M11" s="3"/>
      <c r="N11" s="2"/>
    </row>
    <row r="12" spans="11:15" ht="12.75">
      <c r="K12" s="2"/>
      <c r="M12" s="3"/>
      <c r="N12" s="2"/>
      <c r="O12" s="30" t="s">
        <v>71</v>
      </c>
    </row>
    <row r="13" spans="1:16" ht="12.75">
      <c r="A13" s="53" t="s">
        <v>1</v>
      </c>
      <c r="B13" s="7" t="s">
        <v>2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7" t="s">
        <v>10</v>
      </c>
      <c r="K13" s="8" t="s">
        <v>11</v>
      </c>
      <c r="L13" s="7" t="s">
        <v>12</v>
      </c>
      <c r="M13" s="9" t="s">
        <v>13</v>
      </c>
      <c r="N13" s="8" t="s">
        <v>14</v>
      </c>
      <c r="O13" s="7" t="s">
        <v>15</v>
      </c>
      <c r="P13" s="10" t="s">
        <v>16</v>
      </c>
    </row>
    <row r="14" spans="1:16" ht="12.75">
      <c r="A14" s="12" t="s">
        <v>51</v>
      </c>
      <c r="B14" s="12" t="s">
        <v>18</v>
      </c>
      <c r="C14" s="12" t="s">
        <v>58</v>
      </c>
      <c r="D14" s="13">
        <v>0.5</v>
      </c>
      <c r="E14" s="14" t="s">
        <v>62</v>
      </c>
      <c r="F14" s="13">
        <v>0.316</v>
      </c>
      <c r="G14" s="12" t="s">
        <v>19</v>
      </c>
      <c r="H14" s="13">
        <v>0.692</v>
      </c>
      <c r="I14" s="12">
        <v>20</v>
      </c>
      <c r="J14" s="12">
        <v>6</v>
      </c>
      <c r="K14" s="15">
        <v>15</v>
      </c>
      <c r="L14" s="12">
        <v>14</v>
      </c>
      <c r="M14" s="16" t="s">
        <v>68</v>
      </c>
      <c r="N14" s="23">
        <v>12</v>
      </c>
      <c r="O14" s="12" t="s">
        <v>73</v>
      </c>
      <c r="P14" s="12">
        <v>71</v>
      </c>
    </row>
    <row r="15" spans="1:16" ht="12.75">
      <c r="A15" s="12" t="s">
        <v>52</v>
      </c>
      <c r="B15" s="12" t="s">
        <v>55</v>
      </c>
      <c r="C15" s="12" t="s">
        <v>59</v>
      </c>
      <c r="D15" s="13">
        <v>0.5</v>
      </c>
      <c r="E15" s="12" t="s">
        <v>63</v>
      </c>
      <c r="F15" s="13">
        <v>0.308</v>
      </c>
      <c r="G15" s="12" t="s">
        <v>65</v>
      </c>
      <c r="H15" s="13">
        <v>0.513</v>
      </c>
      <c r="I15" s="12">
        <v>29</v>
      </c>
      <c r="J15" s="12">
        <v>7</v>
      </c>
      <c r="K15" s="15">
        <v>10</v>
      </c>
      <c r="L15" s="12">
        <v>10</v>
      </c>
      <c r="M15" s="16" t="s">
        <v>17</v>
      </c>
      <c r="N15" s="15">
        <v>6</v>
      </c>
      <c r="O15" s="12" t="s">
        <v>72</v>
      </c>
      <c r="P15" s="12">
        <v>60</v>
      </c>
    </row>
    <row r="16" spans="1:16" ht="12.75">
      <c r="A16" s="12" t="s">
        <v>53</v>
      </c>
      <c r="B16" s="12" t="s">
        <v>56</v>
      </c>
      <c r="C16" s="12" t="s">
        <v>60</v>
      </c>
      <c r="D16" s="13">
        <v>0.567</v>
      </c>
      <c r="E16" s="12" t="s">
        <v>20</v>
      </c>
      <c r="F16" s="13">
        <v>0.333</v>
      </c>
      <c r="G16" s="12" t="s">
        <v>66</v>
      </c>
      <c r="H16" s="13">
        <v>0.769</v>
      </c>
      <c r="I16" s="12">
        <v>16</v>
      </c>
      <c r="J16" s="17">
        <v>6</v>
      </c>
      <c r="K16" s="58">
        <v>22</v>
      </c>
      <c r="L16" s="18">
        <v>26</v>
      </c>
      <c r="M16" s="16" t="s">
        <v>69</v>
      </c>
      <c r="N16" s="15">
        <v>8</v>
      </c>
      <c r="O16" s="12" t="s">
        <v>74</v>
      </c>
      <c r="P16" s="12">
        <v>78</v>
      </c>
    </row>
    <row r="17" spans="1:16" ht="12.75">
      <c r="A17" s="12" t="s">
        <v>54</v>
      </c>
      <c r="B17" s="17" t="s">
        <v>57</v>
      </c>
      <c r="C17" s="12" t="s">
        <v>61</v>
      </c>
      <c r="D17" s="13">
        <v>0.409</v>
      </c>
      <c r="E17" s="12" t="s">
        <v>64</v>
      </c>
      <c r="F17" s="13">
        <v>0.235</v>
      </c>
      <c r="G17" s="12" t="s">
        <v>67</v>
      </c>
      <c r="H17" s="13">
        <v>0.667</v>
      </c>
      <c r="I17" s="57">
        <v>12</v>
      </c>
      <c r="J17" s="12">
        <v>8</v>
      </c>
      <c r="K17" s="23">
        <v>8</v>
      </c>
      <c r="L17" s="12">
        <v>23</v>
      </c>
      <c r="M17" s="16" t="s">
        <v>70</v>
      </c>
      <c r="N17" s="15">
        <v>5</v>
      </c>
      <c r="O17" s="17" t="s">
        <v>75</v>
      </c>
      <c r="P17" s="17">
        <v>67</v>
      </c>
    </row>
    <row r="18" spans="1:16" ht="12.75">
      <c r="A18" s="12" t="s">
        <v>90</v>
      </c>
      <c r="B18" s="17" t="s">
        <v>91</v>
      </c>
      <c r="C18" s="17" t="s">
        <v>92</v>
      </c>
      <c r="D18" s="13">
        <v>0.571</v>
      </c>
      <c r="E18" s="17" t="s">
        <v>93</v>
      </c>
      <c r="F18" s="13">
        <v>0.417</v>
      </c>
      <c r="G18" s="17" t="s">
        <v>94</v>
      </c>
      <c r="H18" s="13">
        <v>0.773</v>
      </c>
      <c r="I18" s="17">
        <v>24</v>
      </c>
      <c r="J18" s="17">
        <v>8</v>
      </c>
      <c r="K18" s="19">
        <v>18</v>
      </c>
      <c r="L18" s="17">
        <v>19</v>
      </c>
      <c r="M18" s="20" t="s">
        <v>95</v>
      </c>
      <c r="N18" s="59">
        <v>12</v>
      </c>
      <c r="O18" s="17" t="s">
        <v>96</v>
      </c>
      <c r="P18" s="12">
        <v>95</v>
      </c>
    </row>
    <row r="19" spans="1:16" ht="12.75">
      <c r="A19" s="12" t="s">
        <v>98</v>
      </c>
      <c r="B19" s="17" t="s">
        <v>99</v>
      </c>
      <c r="C19" s="17" t="s">
        <v>100</v>
      </c>
      <c r="D19" s="24">
        <v>0.631</v>
      </c>
      <c r="E19" s="17" t="s">
        <v>101</v>
      </c>
      <c r="F19" s="13">
        <v>0.207</v>
      </c>
      <c r="G19" s="17" t="s">
        <v>89</v>
      </c>
      <c r="H19" s="13">
        <v>0.636</v>
      </c>
      <c r="I19" s="17">
        <v>15</v>
      </c>
      <c r="J19" s="17">
        <v>8</v>
      </c>
      <c r="K19" s="19">
        <v>14</v>
      </c>
      <c r="L19" s="17">
        <v>22</v>
      </c>
      <c r="M19" s="20" t="s">
        <v>102</v>
      </c>
      <c r="N19" s="19">
        <v>7</v>
      </c>
      <c r="O19" s="60" t="s">
        <v>103</v>
      </c>
      <c r="P19" s="12">
        <v>76</v>
      </c>
    </row>
    <row r="20" spans="1:16" ht="12.75">
      <c r="A20" s="12" t="s">
        <v>104</v>
      </c>
      <c r="B20" s="17" t="s">
        <v>105</v>
      </c>
      <c r="C20" s="17" t="s">
        <v>106</v>
      </c>
      <c r="D20" s="13">
        <v>0.385</v>
      </c>
      <c r="E20" s="17" t="s">
        <v>107</v>
      </c>
      <c r="F20" s="13">
        <v>0.368</v>
      </c>
      <c r="G20" s="17" t="s">
        <v>108</v>
      </c>
      <c r="H20" s="13">
        <v>0.696</v>
      </c>
      <c r="I20" s="21">
        <v>29</v>
      </c>
      <c r="J20" s="17">
        <v>11</v>
      </c>
      <c r="K20" s="19">
        <v>11</v>
      </c>
      <c r="L20" s="17">
        <v>15</v>
      </c>
      <c r="M20" s="20" t="s">
        <v>95</v>
      </c>
      <c r="N20" s="40">
        <v>7</v>
      </c>
      <c r="O20" s="17" t="s">
        <v>109</v>
      </c>
      <c r="P20" s="12">
        <v>79</v>
      </c>
    </row>
    <row r="21" spans="1:16" ht="12.75">
      <c r="A21" s="12" t="s">
        <v>110</v>
      </c>
      <c r="B21" s="17" t="s">
        <v>113</v>
      </c>
      <c r="C21" s="17" t="s">
        <v>116</v>
      </c>
      <c r="D21" s="13">
        <f>15/34</f>
        <v>0.4411764705882353</v>
      </c>
      <c r="E21" s="17" t="s">
        <v>117</v>
      </c>
      <c r="F21" s="13">
        <f>4/16</f>
        <v>0.25</v>
      </c>
      <c r="G21" s="17" t="s">
        <v>118</v>
      </c>
      <c r="H21" s="13">
        <f>27/41</f>
        <v>0.6585365853658537</v>
      </c>
      <c r="I21" s="17">
        <v>22</v>
      </c>
      <c r="J21" s="17">
        <v>8</v>
      </c>
      <c r="K21" s="19">
        <v>11</v>
      </c>
      <c r="L21" s="17">
        <v>14</v>
      </c>
      <c r="M21" s="20" t="s">
        <v>68</v>
      </c>
      <c r="N21" s="19">
        <v>4</v>
      </c>
      <c r="O21" s="62" t="s">
        <v>123</v>
      </c>
      <c r="P21" s="12">
        <v>77</v>
      </c>
    </row>
    <row r="22" spans="1:16" ht="12.75">
      <c r="A22" s="12" t="s">
        <v>111</v>
      </c>
      <c r="B22" s="17" t="s">
        <v>114</v>
      </c>
      <c r="C22" s="17" t="s">
        <v>119</v>
      </c>
      <c r="D22" s="13">
        <v>0.5</v>
      </c>
      <c r="E22" s="12" t="s">
        <v>120</v>
      </c>
      <c r="F22" s="13">
        <v>0.143</v>
      </c>
      <c r="G22" s="12" t="s">
        <v>121</v>
      </c>
      <c r="H22" s="13">
        <v>0.571</v>
      </c>
      <c r="I22" s="12">
        <v>25</v>
      </c>
      <c r="J22" s="12">
        <v>6</v>
      </c>
      <c r="K22" s="15">
        <v>12</v>
      </c>
      <c r="L22" s="12">
        <v>22</v>
      </c>
      <c r="M22" s="16" t="s">
        <v>122</v>
      </c>
      <c r="N22" s="15">
        <v>8</v>
      </c>
      <c r="O22" s="22" t="s">
        <v>75</v>
      </c>
      <c r="P22" s="12">
        <v>80</v>
      </c>
    </row>
    <row r="23" spans="1:16" ht="12.75">
      <c r="A23" s="12" t="s">
        <v>112</v>
      </c>
      <c r="B23" s="12" t="s">
        <v>115</v>
      </c>
      <c r="C23" s="17" t="s">
        <v>124</v>
      </c>
      <c r="D23" s="13">
        <v>0.545</v>
      </c>
      <c r="E23" s="12" t="s">
        <v>125</v>
      </c>
      <c r="F23" s="13">
        <v>0.278</v>
      </c>
      <c r="G23" s="12" t="s">
        <v>126</v>
      </c>
      <c r="H23" s="13">
        <v>0.623</v>
      </c>
      <c r="I23" s="12">
        <v>23</v>
      </c>
      <c r="J23" s="12">
        <v>7</v>
      </c>
      <c r="K23" s="15">
        <v>21</v>
      </c>
      <c r="L23" s="12">
        <v>12</v>
      </c>
      <c r="M23" s="16" t="s">
        <v>127</v>
      </c>
      <c r="N23" s="15">
        <v>4</v>
      </c>
      <c r="O23" s="12" t="s">
        <v>128</v>
      </c>
      <c r="P23" s="12">
        <v>64</v>
      </c>
    </row>
    <row r="24" spans="1:16" ht="12.75">
      <c r="A24" s="12" t="s">
        <v>133</v>
      </c>
      <c r="B24" s="12" t="s">
        <v>134</v>
      </c>
      <c r="C24" s="17" t="s">
        <v>135</v>
      </c>
      <c r="D24" s="13">
        <v>0.372</v>
      </c>
      <c r="E24" s="12" t="s">
        <v>64</v>
      </c>
      <c r="F24" s="13">
        <v>0.235</v>
      </c>
      <c r="G24" s="12" t="s">
        <v>136</v>
      </c>
      <c r="H24" s="13">
        <v>0.406</v>
      </c>
      <c r="I24" s="12">
        <v>25</v>
      </c>
      <c r="J24" s="12">
        <v>11</v>
      </c>
      <c r="K24" s="15">
        <v>17</v>
      </c>
      <c r="L24" s="12">
        <v>18</v>
      </c>
      <c r="M24" s="16" t="s">
        <v>137</v>
      </c>
      <c r="N24" s="15">
        <v>3</v>
      </c>
      <c r="O24" s="12" t="s">
        <v>138</v>
      </c>
      <c r="P24" s="57">
        <v>42</v>
      </c>
    </row>
    <row r="25" spans="1:16" ht="12.75">
      <c r="A25" s="12" t="s">
        <v>143</v>
      </c>
      <c r="B25" s="12" t="s">
        <v>18</v>
      </c>
      <c r="C25" s="17" t="s">
        <v>144</v>
      </c>
      <c r="D25" s="13">
        <v>0.464</v>
      </c>
      <c r="E25" s="12" t="s">
        <v>145</v>
      </c>
      <c r="F25" s="13">
        <v>0.181</v>
      </c>
      <c r="G25" s="12" t="s">
        <v>146</v>
      </c>
      <c r="H25" s="13">
        <v>0.567</v>
      </c>
      <c r="I25" s="12">
        <v>17</v>
      </c>
      <c r="J25" s="12">
        <v>10</v>
      </c>
      <c r="K25" s="15">
        <v>17</v>
      </c>
      <c r="L25" s="12">
        <v>17</v>
      </c>
      <c r="M25" s="16" t="s">
        <v>147</v>
      </c>
      <c r="N25" s="15">
        <v>3</v>
      </c>
      <c r="O25" s="22" t="s">
        <v>109</v>
      </c>
      <c r="P25" s="12">
        <v>45</v>
      </c>
    </row>
    <row r="26" spans="1:16" ht="12.75">
      <c r="A26" s="12" t="s">
        <v>148</v>
      </c>
      <c r="B26" s="12" t="s">
        <v>55</v>
      </c>
      <c r="C26" s="17" t="s">
        <v>149</v>
      </c>
      <c r="D26" s="13">
        <v>0.405</v>
      </c>
      <c r="E26" s="12" t="s">
        <v>150</v>
      </c>
      <c r="F26" s="13">
        <v>0.2</v>
      </c>
      <c r="G26" s="12" t="s">
        <v>151</v>
      </c>
      <c r="H26" s="13">
        <v>0.778</v>
      </c>
      <c r="I26" s="12">
        <v>19</v>
      </c>
      <c r="J26" s="57">
        <v>3</v>
      </c>
      <c r="K26" s="15">
        <v>9</v>
      </c>
      <c r="L26" s="12">
        <v>13</v>
      </c>
      <c r="M26" s="61" t="s">
        <v>152</v>
      </c>
      <c r="N26" s="15">
        <v>4</v>
      </c>
      <c r="O26" s="12" t="s">
        <v>153</v>
      </c>
      <c r="P26" s="12">
        <v>49</v>
      </c>
    </row>
    <row r="27" spans="1:16" ht="12.75">
      <c r="A27" s="12" t="s">
        <v>154</v>
      </c>
      <c r="B27" s="12" t="s">
        <v>56</v>
      </c>
      <c r="C27" s="12" t="s">
        <v>155</v>
      </c>
      <c r="D27" s="13">
        <v>0.421</v>
      </c>
      <c r="E27" s="12" t="s">
        <v>156</v>
      </c>
      <c r="F27" s="13">
        <v>0.412</v>
      </c>
      <c r="G27" s="12" t="s">
        <v>157</v>
      </c>
      <c r="H27" s="56">
        <v>0.352</v>
      </c>
      <c r="I27" s="12">
        <v>31</v>
      </c>
      <c r="J27" s="12">
        <v>8</v>
      </c>
      <c r="K27" s="15">
        <v>17</v>
      </c>
      <c r="L27" s="57">
        <v>6</v>
      </c>
      <c r="M27" s="16" t="s">
        <v>158</v>
      </c>
      <c r="N27" s="15">
        <v>7</v>
      </c>
      <c r="O27" s="12" t="s">
        <v>159</v>
      </c>
      <c r="P27" s="12">
        <v>55</v>
      </c>
    </row>
    <row r="28" spans="1:16" ht="12.75">
      <c r="A28" s="12" t="s">
        <v>160</v>
      </c>
      <c r="B28" s="17" t="s">
        <v>57</v>
      </c>
      <c r="C28" s="17" t="s">
        <v>161</v>
      </c>
      <c r="D28" s="13">
        <v>0.39</v>
      </c>
      <c r="E28" s="12" t="s">
        <v>162</v>
      </c>
      <c r="F28" s="13">
        <v>0.077</v>
      </c>
      <c r="G28" s="12" t="s">
        <v>163</v>
      </c>
      <c r="H28" s="13">
        <v>0.735</v>
      </c>
      <c r="I28" s="12">
        <v>18</v>
      </c>
      <c r="J28" s="12">
        <v>9</v>
      </c>
      <c r="K28" s="15">
        <v>9</v>
      </c>
      <c r="L28" s="12">
        <v>16</v>
      </c>
      <c r="M28" s="16" t="s">
        <v>164</v>
      </c>
      <c r="N28" s="15">
        <v>2</v>
      </c>
      <c r="O28" s="12" t="s">
        <v>165</v>
      </c>
      <c r="P28" s="12">
        <v>75</v>
      </c>
    </row>
    <row r="29" spans="1:16" ht="12.75">
      <c r="A29" s="12" t="s">
        <v>166</v>
      </c>
      <c r="B29" s="17" t="s">
        <v>91</v>
      </c>
      <c r="C29" s="17" t="s">
        <v>168</v>
      </c>
      <c r="D29" s="13">
        <v>0.38</v>
      </c>
      <c r="E29" s="12" t="s">
        <v>140</v>
      </c>
      <c r="F29" s="13">
        <v>0.32</v>
      </c>
      <c r="G29" s="12" t="s">
        <v>169</v>
      </c>
      <c r="H29" s="13">
        <v>0.523</v>
      </c>
      <c r="I29" s="12">
        <v>24</v>
      </c>
      <c r="J29" s="12">
        <v>8</v>
      </c>
      <c r="K29" s="23">
        <v>8</v>
      </c>
      <c r="L29" s="12">
        <v>21</v>
      </c>
      <c r="M29" s="16" t="s">
        <v>170</v>
      </c>
      <c r="N29" s="15">
        <v>5</v>
      </c>
      <c r="O29" s="12" t="s">
        <v>171</v>
      </c>
      <c r="P29" s="12">
        <v>66</v>
      </c>
    </row>
    <row r="30" spans="1:16" ht="12.75">
      <c r="A30" s="12" t="s">
        <v>167</v>
      </c>
      <c r="B30" s="17" t="s">
        <v>99</v>
      </c>
      <c r="C30" s="12" t="s">
        <v>172</v>
      </c>
      <c r="D30" s="13">
        <v>0.596</v>
      </c>
      <c r="E30" s="12" t="s">
        <v>173</v>
      </c>
      <c r="F30" s="13">
        <v>0.385</v>
      </c>
      <c r="G30" s="12" t="s">
        <v>174</v>
      </c>
      <c r="H30" s="13">
        <v>0.655</v>
      </c>
      <c r="I30" s="12">
        <v>27</v>
      </c>
      <c r="J30" s="12">
        <v>10</v>
      </c>
      <c r="K30" s="15">
        <v>9</v>
      </c>
      <c r="L30" s="12">
        <v>16</v>
      </c>
      <c r="M30" s="16" t="s">
        <v>175</v>
      </c>
      <c r="N30" s="15">
        <v>9</v>
      </c>
      <c r="O30" s="63" t="s">
        <v>176</v>
      </c>
      <c r="P30" s="18">
        <v>115</v>
      </c>
    </row>
    <row r="31" spans="1:16" ht="12.75">
      <c r="A31" s="12" t="s">
        <v>181</v>
      </c>
      <c r="B31" s="17" t="s">
        <v>105</v>
      </c>
      <c r="C31" s="12" t="s">
        <v>184</v>
      </c>
      <c r="D31" s="13">
        <v>0.425</v>
      </c>
      <c r="E31" s="12" t="s">
        <v>185</v>
      </c>
      <c r="F31" s="13">
        <v>0.2</v>
      </c>
      <c r="G31" s="12" t="s">
        <v>186</v>
      </c>
      <c r="H31" s="13">
        <v>0.54</v>
      </c>
      <c r="I31" s="18">
        <v>37</v>
      </c>
      <c r="J31" s="12">
        <v>8</v>
      </c>
      <c r="K31" s="15">
        <v>18</v>
      </c>
      <c r="L31" s="12">
        <v>19</v>
      </c>
      <c r="M31" s="16" t="s">
        <v>68</v>
      </c>
      <c r="N31" s="15">
        <v>3</v>
      </c>
      <c r="O31" s="12" t="s">
        <v>187</v>
      </c>
      <c r="P31" s="12">
        <v>60</v>
      </c>
    </row>
    <row r="32" spans="1:16" ht="12.75">
      <c r="A32" s="17" t="s">
        <v>182</v>
      </c>
      <c r="B32" s="17" t="s">
        <v>113</v>
      </c>
      <c r="C32" s="17" t="s">
        <v>188</v>
      </c>
      <c r="D32" s="25">
        <v>0.612</v>
      </c>
      <c r="E32" s="17" t="s">
        <v>189</v>
      </c>
      <c r="F32" s="25">
        <v>0.187</v>
      </c>
      <c r="G32" s="17" t="s">
        <v>190</v>
      </c>
      <c r="H32" s="25">
        <v>0.666</v>
      </c>
      <c r="I32" s="17">
        <v>24</v>
      </c>
      <c r="J32" s="17">
        <v>7</v>
      </c>
      <c r="K32" s="64">
        <v>22</v>
      </c>
      <c r="L32" s="17">
        <v>15</v>
      </c>
      <c r="M32" s="20" t="s">
        <v>191</v>
      </c>
      <c r="N32" s="19">
        <v>7</v>
      </c>
      <c r="O32" s="17" t="s">
        <v>192</v>
      </c>
      <c r="P32" s="12">
        <v>70</v>
      </c>
    </row>
    <row r="33" spans="1:16" ht="12.75">
      <c r="A33" s="17" t="s">
        <v>183</v>
      </c>
      <c r="B33" s="17" t="s">
        <v>114</v>
      </c>
      <c r="C33" s="17" t="s">
        <v>178</v>
      </c>
      <c r="D33" s="25">
        <v>0.583</v>
      </c>
      <c r="E33" s="17" t="s">
        <v>193</v>
      </c>
      <c r="F33" s="25">
        <v>0.333</v>
      </c>
      <c r="G33" s="17" t="s">
        <v>194</v>
      </c>
      <c r="H33" s="25">
        <v>0.588</v>
      </c>
      <c r="I33" s="17">
        <v>27</v>
      </c>
      <c r="J33" s="17">
        <v>9</v>
      </c>
      <c r="K33" s="19">
        <v>18</v>
      </c>
      <c r="L33" s="17">
        <v>15</v>
      </c>
      <c r="M33" s="20" t="s">
        <v>195</v>
      </c>
      <c r="N33" s="19">
        <v>9</v>
      </c>
      <c r="O33" s="17" t="s">
        <v>196</v>
      </c>
      <c r="P33" s="12">
        <v>84</v>
      </c>
    </row>
    <row r="34" spans="1:16" ht="12.75">
      <c r="A34" s="17" t="s">
        <v>197</v>
      </c>
      <c r="B34" s="12" t="s">
        <v>115</v>
      </c>
      <c r="C34" s="17" t="s">
        <v>199</v>
      </c>
      <c r="D34" s="25">
        <v>0.51</v>
      </c>
      <c r="E34" s="17" t="s">
        <v>209</v>
      </c>
      <c r="F34" s="65">
        <v>0</v>
      </c>
      <c r="G34" s="17" t="s">
        <v>200</v>
      </c>
      <c r="H34" s="25">
        <v>0.5</v>
      </c>
      <c r="I34" s="17">
        <v>28</v>
      </c>
      <c r="J34" s="17">
        <v>5</v>
      </c>
      <c r="K34" s="19">
        <v>17</v>
      </c>
      <c r="L34" s="17">
        <v>16</v>
      </c>
      <c r="M34" s="20" t="s">
        <v>95</v>
      </c>
      <c r="N34" s="19">
        <v>6</v>
      </c>
      <c r="O34" s="17" t="s">
        <v>201</v>
      </c>
      <c r="P34" s="12">
        <v>57</v>
      </c>
    </row>
    <row r="35" spans="1:16" ht="12.75">
      <c r="A35" s="17" t="s">
        <v>198</v>
      </c>
      <c r="B35" s="12" t="s">
        <v>134</v>
      </c>
      <c r="C35" s="17" t="s">
        <v>202</v>
      </c>
      <c r="D35" s="25">
        <v>0.478</v>
      </c>
      <c r="E35" s="17" t="s">
        <v>203</v>
      </c>
      <c r="F35" s="25">
        <v>0.215</v>
      </c>
      <c r="G35" s="17" t="s">
        <v>204</v>
      </c>
      <c r="H35" s="66">
        <v>0.786</v>
      </c>
      <c r="I35" s="17">
        <v>26</v>
      </c>
      <c r="J35" s="17">
        <v>6</v>
      </c>
      <c r="K35" s="19">
        <v>15</v>
      </c>
      <c r="L35" s="17">
        <v>16</v>
      </c>
      <c r="M35" s="20" t="s">
        <v>95</v>
      </c>
      <c r="N35" s="19">
        <v>5</v>
      </c>
      <c r="O35" s="17" t="s">
        <v>205</v>
      </c>
      <c r="P35" s="12">
        <v>64</v>
      </c>
    </row>
    <row r="36" spans="1:16" ht="12.75">
      <c r="A36" s="17"/>
      <c r="B36" s="17"/>
      <c r="C36" s="17"/>
      <c r="D36" s="25"/>
      <c r="E36" s="17"/>
      <c r="F36" s="25"/>
      <c r="G36" s="17"/>
      <c r="H36" s="41"/>
      <c r="I36" s="17"/>
      <c r="J36" s="17"/>
      <c r="K36" s="19"/>
      <c r="L36" s="17"/>
      <c r="M36" s="20"/>
      <c r="N36" s="19"/>
      <c r="O36" s="17"/>
      <c r="P36" s="12"/>
    </row>
    <row r="37" spans="1:16" ht="12.75">
      <c r="A37" s="17" t="s">
        <v>210</v>
      </c>
      <c r="B37" s="17" t="s">
        <v>212</v>
      </c>
      <c r="C37" s="17" t="s">
        <v>58</v>
      </c>
      <c r="D37" s="25">
        <v>0.5</v>
      </c>
      <c r="E37" s="17" t="s">
        <v>213</v>
      </c>
      <c r="F37" s="25">
        <v>0.105</v>
      </c>
      <c r="G37" s="17" t="s">
        <v>214</v>
      </c>
      <c r="H37" s="25">
        <v>0.594</v>
      </c>
      <c r="I37" s="17">
        <v>31</v>
      </c>
      <c r="J37" s="17">
        <v>11</v>
      </c>
      <c r="K37" s="19">
        <v>13</v>
      </c>
      <c r="L37" s="17">
        <v>12</v>
      </c>
      <c r="M37" s="20" t="s">
        <v>170</v>
      </c>
      <c r="N37" s="19">
        <v>3</v>
      </c>
      <c r="O37" s="17" t="s">
        <v>215</v>
      </c>
      <c r="P37" s="12">
        <v>65</v>
      </c>
    </row>
    <row r="38" spans="1:16" ht="12.75">
      <c r="A38" s="12" t="s">
        <v>211</v>
      </c>
      <c r="B38" s="17" t="s">
        <v>212</v>
      </c>
      <c r="C38" s="12" t="s">
        <v>216</v>
      </c>
      <c r="D38" s="67">
        <v>0.366</v>
      </c>
      <c r="E38" s="12" t="s">
        <v>217</v>
      </c>
      <c r="F38" s="24">
        <v>0.455</v>
      </c>
      <c r="G38" s="12" t="s">
        <v>218</v>
      </c>
      <c r="H38" s="13">
        <v>0.423</v>
      </c>
      <c r="I38" s="12">
        <v>21</v>
      </c>
      <c r="J38" s="18">
        <v>12</v>
      </c>
      <c r="K38" s="15">
        <v>11</v>
      </c>
      <c r="L38" s="12">
        <v>16</v>
      </c>
      <c r="M38" s="16" t="s">
        <v>219</v>
      </c>
      <c r="N38" s="15">
        <v>5</v>
      </c>
      <c r="O38" s="12" t="s">
        <v>220</v>
      </c>
      <c r="P38" s="12">
        <v>59</v>
      </c>
    </row>
    <row r="39" spans="1:16" ht="12.75">
      <c r="A39" s="12" t="s">
        <v>224</v>
      </c>
      <c r="B39" s="12" t="s">
        <v>55</v>
      </c>
      <c r="C39" s="12" t="s">
        <v>231</v>
      </c>
      <c r="D39" s="13">
        <v>0.514</v>
      </c>
      <c r="E39" s="12" t="s">
        <v>232</v>
      </c>
      <c r="F39" s="13">
        <v>0.333</v>
      </c>
      <c r="G39" s="12" t="s">
        <v>233</v>
      </c>
      <c r="H39" s="13">
        <v>0.555</v>
      </c>
      <c r="I39" s="12">
        <v>17</v>
      </c>
      <c r="J39" s="12">
        <v>9</v>
      </c>
      <c r="K39" s="15">
        <v>13</v>
      </c>
      <c r="L39" s="12">
        <v>11</v>
      </c>
      <c r="M39" s="68" t="s">
        <v>234</v>
      </c>
      <c r="N39" s="58">
        <v>1</v>
      </c>
      <c r="O39" s="57" t="s">
        <v>235</v>
      </c>
      <c r="P39" s="12">
        <v>43</v>
      </c>
    </row>
    <row r="40" spans="1:16" ht="12.75">
      <c r="A40" s="12" t="s">
        <v>225</v>
      </c>
      <c r="B40" s="17" t="s">
        <v>55</v>
      </c>
      <c r="C40" s="12" t="s">
        <v>227</v>
      </c>
      <c r="D40" s="13">
        <v>0.394</v>
      </c>
      <c r="E40" s="12" t="s">
        <v>189</v>
      </c>
      <c r="F40" s="13">
        <v>0.187</v>
      </c>
      <c r="G40" s="12" t="s">
        <v>228</v>
      </c>
      <c r="H40" s="13">
        <v>0.657</v>
      </c>
      <c r="I40" s="12">
        <v>19</v>
      </c>
      <c r="J40" s="12">
        <v>5</v>
      </c>
      <c r="K40" s="15">
        <v>8</v>
      </c>
      <c r="L40" s="12">
        <v>12</v>
      </c>
      <c r="M40" s="16" t="s">
        <v>229</v>
      </c>
      <c r="N40" s="15">
        <v>4</v>
      </c>
      <c r="O40" s="42" t="s">
        <v>230</v>
      </c>
      <c r="P40" s="12">
        <v>49</v>
      </c>
    </row>
    <row r="41" spans="1:16" ht="12.75">
      <c r="A41" s="12"/>
      <c r="B41" s="17"/>
      <c r="C41" s="28"/>
      <c r="D41" s="13"/>
      <c r="E41" s="12"/>
      <c r="F41" s="13"/>
      <c r="G41" s="12"/>
      <c r="H41" s="13"/>
      <c r="I41" s="12"/>
      <c r="J41" s="12"/>
      <c r="K41" s="15"/>
      <c r="L41" s="12"/>
      <c r="M41" s="16"/>
      <c r="N41" s="15"/>
      <c r="O41" s="12"/>
      <c r="P41" s="12"/>
    </row>
    <row r="42" spans="1:16" ht="12.75">
      <c r="A42" s="43" t="s">
        <v>262</v>
      </c>
      <c r="B42" s="54" t="s">
        <v>226</v>
      </c>
      <c r="C42" s="73" t="s">
        <v>273</v>
      </c>
      <c r="D42" s="44">
        <f>480/1006</f>
        <v>0.47713717693836977</v>
      </c>
      <c r="E42" s="69" t="s">
        <v>274</v>
      </c>
      <c r="F42" s="44">
        <f>124/464</f>
        <v>0.2672413793103448</v>
      </c>
      <c r="G42" s="69" t="s">
        <v>275</v>
      </c>
      <c r="H42" s="44">
        <f>431/704</f>
        <v>0.6122159090909091</v>
      </c>
      <c r="I42" s="43">
        <v>606</v>
      </c>
      <c r="J42" s="43">
        <v>206</v>
      </c>
      <c r="K42" s="45">
        <v>363</v>
      </c>
      <c r="L42" s="43">
        <v>416</v>
      </c>
      <c r="M42" s="46" t="s">
        <v>271</v>
      </c>
      <c r="N42" s="45">
        <v>149</v>
      </c>
      <c r="O42" s="71" t="s">
        <v>269</v>
      </c>
      <c r="P42" s="43">
        <v>1745</v>
      </c>
    </row>
    <row r="43" spans="1:16" ht="12.75">
      <c r="A43" s="43" t="s">
        <v>277</v>
      </c>
      <c r="B43" s="54" t="s">
        <v>276</v>
      </c>
      <c r="I43" s="30" t="s">
        <v>263</v>
      </c>
      <c r="J43" s="30" t="s">
        <v>264</v>
      </c>
      <c r="K43" s="31" t="s">
        <v>265</v>
      </c>
      <c r="L43" s="29" t="s">
        <v>266</v>
      </c>
      <c r="M43" s="72" t="s">
        <v>272</v>
      </c>
      <c r="N43" s="31" t="s">
        <v>267</v>
      </c>
      <c r="O43" s="29" t="s">
        <v>270</v>
      </c>
      <c r="P43" s="70" t="s">
        <v>268</v>
      </c>
    </row>
    <row r="44" spans="2:14" ht="12.75">
      <c r="B44" t="s">
        <v>21</v>
      </c>
      <c r="C44" s="32"/>
      <c r="K44" s="2"/>
      <c r="M44" s="3"/>
      <c r="N44" s="2"/>
    </row>
    <row r="45" spans="2:16" ht="12.75">
      <c r="B45" t="s">
        <v>22</v>
      </c>
      <c r="C45" s="33"/>
      <c r="G45" s="30"/>
      <c r="K45" s="2"/>
      <c r="M45" s="3"/>
      <c r="N45" s="55"/>
      <c r="O45" s="54"/>
      <c r="P45" s="6"/>
    </row>
    <row r="46" spans="1:14" ht="12.75">
      <c r="A46" s="11"/>
      <c r="B46" s="34"/>
      <c r="K46" s="2"/>
      <c r="M46" s="3"/>
      <c r="N46" s="2"/>
    </row>
    <row r="47" spans="1:18" ht="12.75">
      <c r="A47" s="7" t="s">
        <v>23</v>
      </c>
      <c r="B47" s="7" t="s">
        <v>24</v>
      </c>
      <c r="C47" s="7" t="s">
        <v>25</v>
      </c>
      <c r="D47" s="7" t="s">
        <v>26</v>
      </c>
      <c r="E47" s="7" t="s">
        <v>27</v>
      </c>
      <c r="F47" s="7" t="s">
        <v>84</v>
      </c>
      <c r="G47" s="7" t="s">
        <v>29</v>
      </c>
      <c r="H47" s="7" t="s">
        <v>28</v>
      </c>
      <c r="I47" s="7" t="s">
        <v>29</v>
      </c>
      <c r="J47" s="7" t="s">
        <v>30</v>
      </c>
      <c r="K47" s="7" t="s">
        <v>29</v>
      </c>
      <c r="L47" s="7" t="s">
        <v>31</v>
      </c>
      <c r="M47" s="8" t="s">
        <v>32</v>
      </c>
      <c r="N47" s="7" t="s">
        <v>33</v>
      </c>
      <c r="O47" s="9" t="s">
        <v>34</v>
      </c>
      <c r="P47" s="8" t="s">
        <v>35</v>
      </c>
      <c r="Q47" s="8" t="s">
        <v>85</v>
      </c>
      <c r="R47" s="8" t="s">
        <v>86</v>
      </c>
    </row>
    <row r="48" spans="1:18" ht="12.75">
      <c r="A48" s="11">
        <v>4</v>
      </c>
      <c r="B48" s="11" t="s">
        <v>76</v>
      </c>
      <c r="C48" s="12">
        <v>24</v>
      </c>
      <c r="D48" s="12">
        <v>101</v>
      </c>
      <c r="E48" s="16">
        <f>101/24</f>
        <v>4.208333333333333</v>
      </c>
      <c r="F48" s="12">
        <v>396</v>
      </c>
      <c r="G48" s="16">
        <f>396/24</f>
        <v>16.5</v>
      </c>
      <c r="H48" s="12">
        <v>64</v>
      </c>
      <c r="I48" s="16">
        <f>64/24</f>
        <v>2.6666666666666665</v>
      </c>
      <c r="J48" s="12">
        <v>70</v>
      </c>
      <c r="K48" s="16">
        <f>70/24</f>
        <v>2.9166666666666665</v>
      </c>
      <c r="L48" s="12">
        <v>26</v>
      </c>
      <c r="M48" s="15">
        <v>13</v>
      </c>
      <c r="N48" s="15">
        <v>39</v>
      </c>
      <c r="O48" s="16">
        <f>39/24</f>
        <v>1.625</v>
      </c>
      <c r="P48" s="12">
        <v>18</v>
      </c>
      <c r="Q48" s="11">
        <v>0</v>
      </c>
      <c r="R48" s="11">
        <v>3</v>
      </c>
    </row>
    <row r="49" spans="1:18" ht="12.75">
      <c r="A49" s="11">
        <v>5</v>
      </c>
      <c r="B49" s="11" t="s">
        <v>77</v>
      </c>
      <c r="C49" s="12">
        <v>23</v>
      </c>
      <c r="D49" s="12">
        <v>173</v>
      </c>
      <c r="E49" s="16">
        <f>173/23</f>
        <v>7.521739130434782</v>
      </c>
      <c r="F49" s="12">
        <v>494</v>
      </c>
      <c r="G49" s="16">
        <f>494/23</f>
        <v>21.47826086956522</v>
      </c>
      <c r="H49" s="12">
        <v>25</v>
      </c>
      <c r="I49" s="16">
        <f>25/23</f>
        <v>1.0869565217391304</v>
      </c>
      <c r="J49" s="12">
        <v>78</v>
      </c>
      <c r="K49" s="16">
        <f>78/23</f>
        <v>3.391304347826087</v>
      </c>
      <c r="L49" s="12">
        <v>20</v>
      </c>
      <c r="M49" s="15">
        <v>2</v>
      </c>
      <c r="N49" s="15">
        <v>22</v>
      </c>
      <c r="O49" s="20">
        <f>22/23</f>
        <v>0.9565217391304348</v>
      </c>
      <c r="P49" s="12">
        <v>20</v>
      </c>
      <c r="Q49" s="11">
        <v>2</v>
      </c>
      <c r="R49" s="11">
        <v>3</v>
      </c>
    </row>
    <row r="50" spans="1:18" ht="12.75">
      <c r="A50" s="11">
        <v>6</v>
      </c>
      <c r="B50" s="11" t="s">
        <v>36</v>
      </c>
      <c r="C50" s="12">
        <v>22</v>
      </c>
      <c r="D50" s="12">
        <v>82</v>
      </c>
      <c r="E50" s="16">
        <f>82/22</f>
        <v>3.727272727272727</v>
      </c>
      <c r="F50" s="12">
        <v>421</v>
      </c>
      <c r="G50" s="16">
        <f>421/22</f>
        <v>19.136363636363637</v>
      </c>
      <c r="H50" s="12">
        <v>37</v>
      </c>
      <c r="I50" s="16">
        <f>37/22</f>
        <v>1.6818181818181819</v>
      </c>
      <c r="J50" s="12">
        <v>21</v>
      </c>
      <c r="K50" s="16">
        <f>21/22</f>
        <v>0.9545454545454546</v>
      </c>
      <c r="L50" s="12">
        <v>25</v>
      </c>
      <c r="M50" s="15">
        <v>6</v>
      </c>
      <c r="N50" s="15">
        <v>31</v>
      </c>
      <c r="O50" s="20">
        <f>31/22</f>
        <v>1.4090909090909092</v>
      </c>
      <c r="P50" s="12">
        <v>18</v>
      </c>
      <c r="Q50" s="11">
        <v>2</v>
      </c>
      <c r="R50" s="11">
        <v>4</v>
      </c>
    </row>
    <row r="51" spans="1:18" ht="12.75">
      <c r="A51" s="11">
        <v>8</v>
      </c>
      <c r="B51" s="11" t="s">
        <v>78</v>
      </c>
      <c r="C51" s="12">
        <v>3</v>
      </c>
      <c r="D51" s="12">
        <v>4</v>
      </c>
      <c r="E51" s="16">
        <f>4/3</f>
        <v>1.3333333333333333</v>
      </c>
      <c r="F51" s="17">
        <v>17</v>
      </c>
      <c r="G51" s="16">
        <f>17/3</f>
        <v>5.666666666666667</v>
      </c>
      <c r="H51" s="17">
        <v>3</v>
      </c>
      <c r="I51" s="16">
        <f>3/3</f>
        <v>1</v>
      </c>
      <c r="J51" s="12">
        <v>1</v>
      </c>
      <c r="K51" s="16">
        <f>1/3</f>
        <v>0.3333333333333333</v>
      </c>
      <c r="L51" s="12">
        <v>1</v>
      </c>
      <c r="M51" s="15">
        <v>1</v>
      </c>
      <c r="N51" s="15">
        <v>2</v>
      </c>
      <c r="O51" s="16">
        <f>2/3</f>
        <v>0.6666666666666666</v>
      </c>
      <c r="P51" s="12">
        <v>0</v>
      </c>
      <c r="Q51" s="11">
        <v>0</v>
      </c>
      <c r="R51" s="11">
        <v>0</v>
      </c>
    </row>
    <row r="52" spans="1:18" ht="12.75">
      <c r="A52" s="11">
        <v>9</v>
      </c>
      <c r="B52" s="11" t="s">
        <v>79</v>
      </c>
      <c r="C52" s="12">
        <v>7</v>
      </c>
      <c r="D52" s="12">
        <v>30</v>
      </c>
      <c r="E52" s="16">
        <f>30/7</f>
        <v>4.285714285714286</v>
      </c>
      <c r="F52" s="17">
        <v>130</v>
      </c>
      <c r="G52" s="16">
        <f>130/7</f>
        <v>18.571428571428573</v>
      </c>
      <c r="H52" s="17">
        <v>7</v>
      </c>
      <c r="I52" s="16">
        <f>7/7</f>
        <v>1</v>
      </c>
      <c r="J52" s="12">
        <v>15</v>
      </c>
      <c r="K52" s="16">
        <f>15/7</f>
        <v>2.142857142857143</v>
      </c>
      <c r="L52" s="12">
        <v>1</v>
      </c>
      <c r="M52" s="15">
        <v>2</v>
      </c>
      <c r="N52" s="15">
        <v>3</v>
      </c>
      <c r="O52" s="20">
        <f>3/7</f>
        <v>0.42857142857142855</v>
      </c>
      <c r="P52" s="12">
        <v>12</v>
      </c>
      <c r="Q52" s="11">
        <v>0</v>
      </c>
      <c r="R52" s="11">
        <v>0</v>
      </c>
    </row>
    <row r="53" spans="1:18" ht="12.75">
      <c r="A53" s="11">
        <v>10</v>
      </c>
      <c r="B53" s="11" t="s">
        <v>37</v>
      </c>
      <c r="C53" s="12">
        <v>22</v>
      </c>
      <c r="D53" s="12">
        <v>153</v>
      </c>
      <c r="E53" s="16">
        <f>153/22</f>
        <v>6.954545454545454</v>
      </c>
      <c r="F53" s="17">
        <v>468</v>
      </c>
      <c r="G53" s="16">
        <f>468/22</f>
        <v>21.272727272727273</v>
      </c>
      <c r="H53" s="17">
        <v>46</v>
      </c>
      <c r="I53" s="16">
        <f>46/22</f>
        <v>2.090909090909091</v>
      </c>
      <c r="J53" s="12">
        <v>19</v>
      </c>
      <c r="K53" s="16">
        <f>19/22</f>
        <v>0.8636363636363636</v>
      </c>
      <c r="L53" s="12">
        <v>20</v>
      </c>
      <c r="M53" s="15">
        <v>7</v>
      </c>
      <c r="N53" s="15">
        <v>27</v>
      </c>
      <c r="O53" s="20">
        <f>27/22</f>
        <v>1.2272727272727273</v>
      </c>
      <c r="P53" s="12">
        <v>6</v>
      </c>
      <c r="Q53" s="11">
        <v>1</v>
      </c>
      <c r="R53" s="11">
        <v>1</v>
      </c>
    </row>
    <row r="54" spans="1:18" ht="12.75">
      <c r="A54" s="11">
        <v>11</v>
      </c>
      <c r="B54" s="11" t="s">
        <v>42</v>
      </c>
      <c r="C54" s="12">
        <v>9</v>
      </c>
      <c r="D54" s="12">
        <v>45</v>
      </c>
      <c r="E54" s="16">
        <f>45/9</f>
        <v>5</v>
      </c>
      <c r="F54" s="17">
        <v>191</v>
      </c>
      <c r="G54" s="16">
        <f>191/9</f>
        <v>21.22222222222222</v>
      </c>
      <c r="H54" s="17">
        <v>20</v>
      </c>
      <c r="I54" s="16">
        <f>20/9</f>
        <v>2.2222222222222223</v>
      </c>
      <c r="J54" s="12">
        <v>8</v>
      </c>
      <c r="K54" s="16">
        <f>8/9</f>
        <v>0.8888888888888888</v>
      </c>
      <c r="L54" s="12">
        <v>26</v>
      </c>
      <c r="M54" s="15">
        <v>7</v>
      </c>
      <c r="N54" s="15">
        <v>33</v>
      </c>
      <c r="O54" s="16">
        <f>33/9</f>
        <v>3.6666666666666665</v>
      </c>
      <c r="P54" s="12">
        <v>1</v>
      </c>
      <c r="Q54" s="11">
        <v>6</v>
      </c>
      <c r="R54" s="11">
        <v>2</v>
      </c>
    </row>
    <row r="55" spans="1:18" ht="12.75">
      <c r="A55" s="11" t="s">
        <v>206</v>
      </c>
      <c r="B55" s="11" t="s">
        <v>207</v>
      </c>
      <c r="C55" s="12">
        <v>1</v>
      </c>
      <c r="D55" s="12">
        <v>0</v>
      </c>
      <c r="E55" s="16">
        <f>0/1</f>
        <v>0</v>
      </c>
      <c r="F55" s="17">
        <v>3</v>
      </c>
      <c r="G55" s="16">
        <f>3/1</f>
        <v>3</v>
      </c>
      <c r="H55" s="17">
        <v>0</v>
      </c>
      <c r="I55" s="16">
        <v>0</v>
      </c>
      <c r="J55" s="12">
        <v>0</v>
      </c>
      <c r="K55" s="16">
        <v>0</v>
      </c>
      <c r="L55" s="12">
        <v>0</v>
      </c>
      <c r="M55" s="15">
        <v>0</v>
      </c>
      <c r="N55" s="15">
        <v>0</v>
      </c>
      <c r="O55" s="20">
        <v>0</v>
      </c>
      <c r="P55" s="12">
        <v>0</v>
      </c>
      <c r="Q55" s="11">
        <v>0</v>
      </c>
      <c r="R55" s="11">
        <v>0</v>
      </c>
    </row>
    <row r="56" spans="1:18" ht="12.75">
      <c r="A56" s="11">
        <v>13</v>
      </c>
      <c r="B56" s="11" t="s">
        <v>80</v>
      </c>
      <c r="C56" s="12">
        <v>25</v>
      </c>
      <c r="D56" s="12">
        <v>255</v>
      </c>
      <c r="E56" s="16">
        <f>255/25</f>
        <v>10.2</v>
      </c>
      <c r="F56" s="17">
        <v>505</v>
      </c>
      <c r="G56" s="16">
        <f>505/25</f>
        <v>20.2</v>
      </c>
      <c r="H56" s="17">
        <v>44</v>
      </c>
      <c r="I56" s="16">
        <f>44/25</f>
        <v>1.76</v>
      </c>
      <c r="J56" s="12">
        <v>6</v>
      </c>
      <c r="K56" s="16">
        <f>6/25</f>
        <v>0.24</v>
      </c>
      <c r="L56" s="12">
        <v>25</v>
      </c>
      <c r="M56" s="15">
        <v>4</v>
      </c>
      <c r="N56" s="15">
        <v>29</v>
      </c>
      <c r="O56" s="16">
        <f>29/25</f>
        <v>1.16</v>
      </c>
      <c r="P56" s="12">
        <v>6</v>
      </c>
      <c r="Q56" s="11">
        <v>2</v>
      </c>
      <c r="R56" s="11">
        <v>5</v>
      </c>
    </row>
    <row r="57" spans="1:18" ht="12.75">
      <c r="A57" s="11">
        <v>22</v>
      </c>
      <c r="B57" s="11" t="s">
        <v>208</v>
      </c>
      <c r="C57" s="12">
        <v>1</v>
      </c>
      <c r="D57" s="12">
        <v>0</v>
      </c>
      <c r="E57" s="16">
        <v>0</v>
      </c>
      <c r="F57" s="17">
        <v>5</v>
      </c>
      <c r="G57" s="16">
        <f>5/1</f>
        <v>5</v>
      </c>
      <c r="H57" s="17">
        <v>0</v>
      </c>
      <c r="I57" s="16">
        <v>0</v>
      </c>
      <c r="J57" s="12">
        <v>0</v>
      </c>
      <c r="K57" s="16">
        <v>0</v>
      </c>
      <c r="L57" s="12">
        <v>0</v>
      </c>
      <c r="M57" s="15">
        <v>0</v>
      </c>
      <c r="N57" s="15">
        <v>0</v>
      </c>
      <c r="O57" s="20">
        <v>0</v>
      </c>
      <c r="P57" s="12">
        <v>1</v>
      </c>
      <c r="Q57" s="11">
        <v>0</v>
      </c>
      <c r="R57" s="11">
        <v>0</v>
      </c>
    </row>
    <row r="58" spans="1:18" ht="12.75">
      <c r="A58" s="11">
        <v>16</v>
      </c>
      <c r="B58" s="11" t="s">
        <v>39</v>
      </c>
      <c r="C58" s="12">
        <v>13</v>
      </c>
      <c r="D58" s="12">
        <v>107</v>
      </c>
      <c r="E58" s="16">
        <f>107/13</f>
        <v>8.23076923076923</v>
      </c>
      <c r="F58" s="17">
        <v>257</v>
      </c>
      <c r="G58" s="16">
        <f>257/13</f>
        <v>19.76923076923077</v>
      </c>
      <c r="H58" s="17">
        <v>19</v>
      </c>
      <c r="I58" s="16">
        <f>19/13</f>
        <v>1.4615384615384615</v>
      </c>
      <c r="J58" s="12">
        <v>28</v>
      </c>
      <c r="K58" s="16">
        <f>28/13</f>
        <v>2.1538461538461537</v>
      </c>
      <c r="L58" s="12">
        <v>21</v>
      </c>
      <c r="M58" s="15">
        <v>11</v>
      </c>
      <c r="N58" s="15">
        <v>32</v>
      </c>
      <c r="O58" s="16">
        <f>32/13</f>
        <v>2.4615384615384617</v>
      </c>
      <c r="P58" s="12">
        <v>3</v>
      </c>
      <c r="Q58" s="11">
        <v>10</v>
      </c>
      <c r="R58" s="11">
        <v>4</v>
      </c>
    </row>
    <row r="59" spans="1:18" ht="12.75">
      <c r="A59" s="11">
        <v>18</v>
      </c>
      <c r="B59" s="11" t="s">
        <v>38</v>
      </c>
      <c r="C59" s="12">
        <v>25</v>
      </c>
      <c r="D59" s="12">
        <v>287</v>
      </c>
      <c r="E59" s="16">
        <f>287/25</f>
        <v>11.48</v>
      </c>
      <c r="F59" s="17">
        <v>744</v>
      </c>
      <c r="G59" s="16">
        <f>744/25</f>
        <v>29.76</v>
      </c>
      <c r="H59" s="17">
        <v>30</v>
      </c>
      <c r="I59" s="16">
        <f>30/25</f>
        <v>1.2</v>
      </c>
      <c r="J59" s="12">
        <v>106</v>
      </c>
      <c r="K59" s="16">
        <f>106/25</f>
        <v>4.24</v>
      </c>
      <c r="L59" s="12">
        <v>109</v>
      </c>
      <c r="M59" s="15">
        <v>34</v>
      </c>
      <c r="N59" s="15">
        <v>143</v>
      </c>
      <c r="O59" s="16">
        <f>143/25</f>
        <v>5.72</v>
      </c>
      <c r="P59" s="12">
        <v>28</v>
      </c>
      <c r="Q59" s="11">
        <v>0</v>
      </c>
      <c r="R59" s="11">
        <v>6</v>
      </c>
    </row>
    <row r="60" spans="1:18" ht="12.75">
      <c r="A60" s="11">
        <v>19</v>
      </c>
      <c r="B60" s="11" t="s">
        <v>40</v>
      </c>
      <c r="C60" s="12">
        <v>5</v>
      </c>
      <c r="D60" s="12">
        <v>14</v>
      </c>
      <c r="E60" s="16">
        <f>14/5</f>
        <v>2.8</v>
      </c>
      <c r="F60" s="17">
        <v>63</v>
      </c>
      <c r="G60" s="16">
        <f>63/5</f>
        <v>12.6</v>
      </c>
      <c r="H60" s="17">
        <v>6</v>
      </c>
      <c r="I60" s="16">
        <f>6/5</f>
        <v>1.2</v>
      </c>
      <c r="J60" s="12">
        <v>8</v>
      </c>
      <c r="K60" s="16">
        <f>8/5</f>
        <v>1.6</v>
      </c>
      <c r="L60" s="12">
        <v>11</v>
      </c>
      <c r="M60" s="15">
        <v>6</v>
      </c>
      <c r="N60" s="15">
        <v>17</v>
      </c>
      <c r="O60" s="16">
        <f>17/5</f>
        <v>3.4</v>
      </c>
      <c r="P60" s="12">
        <v>0</v>
      </c>
      <c r="Q60" s="11">
        <v>0</v>
      </c>
      <c r="R60" s="11">
        <v>2</v>
      </c>
    </row>
    <row r="61" spans="1:18" ht="12.75">
      <c r="A61" s="11">
        <v>20</v>
      </c>
      <c r="B61" s="11" t="s">
        <v>139</v>
      </c>
      <c r="C61" s="12">
        <v>13</v>
      </c>
      <c r="D61" s="12">
        <v>65</v>
      </c>
      <c r="E61" s="16">
        <f>65/13</f>
        <v>5</v>
      </c>
      <c r="F61" s="17">
        <v>161</v>
      </c>
      <c r="G61" s="16">
        <f>161/13</f>
        <v>12.384615384615385</v>
      </c>
      <c r="H61" s="17">
        <v>24</v>
      </c>
      <c r="I61" s="16">
        <f>24/13</f>
        <v>1.8461538461538463</v>
      </c>
      <c r="J61" s="12">
        <v>25</v>
      </c>
      <c r="K61" s="16">
        <f>25/13</f>
        <v>1.9230769230769231</v>
      </c>
      <c r="L61" s="12">
        <v>22</v>
      </c>
      <c r="M61" s="15">
        <v>9</v>
      </c>
      <c r="N61" s="15">
        <v>31</v>
      </c>
      <c r="O61" s="16">
        <f>31/13</f>
        <v>2.3846153846153846</v>
      </c>
      <c r="P61" s="12">
        <v>4</v>
      </c>
      <c r="Q61" s="11">
        <v>0</v>
      </c>
      <c r="R61" s="11">
        <v>2</v>
      </c>
    </row>
    <row r="62" spans="1:18" ht="12.75">
      <c r="A62" s="11">
        <v>23</v>
      </c>
      <c r="B62" s="11" t="s">
        <v>43</v>
      </c>
      <c r="C62" s="12">
        <v>16</v>
      </c>
      <c r="D62" s="12">
        <v>155</v>
      </c>
      <c r="E62" s="16">
        <f>155/16</f>
        <v>9.6875</v>
      </c>
      <c r="F62" s="17">
        <v>400</v>
      </c>
      <c r="G62" s="16">
        <f>400/16</f>
        <v>25</v>
      </c>
      <c r="H62" s="17">
        <v>27</v>
      </c>
      <c r="I62" s="16">
        <f>27/16</f>
        <v>1.6875</v>
      </c>
      <c r="J62" s="12">
        <v>55</v>
      </c>
      <c r="K62" s="16">
        <f>55/16</f>
        <v>3.4375</v>
      </c>
      <c r="L62" s="12">
        <v>89</v>
      </c>
      <c r="M62" s="15">
        <v>26</v>
      </c>
      <c r="N62" s="15">
        <v>115</v>
      </c>
      <c r="O62" s="16">
        <v>7.1875</v>
      </c>
      <c r="P62" s="12">
        <v>12</v>
      </c>
      <c r="Q62" s="11">
        <v>21</v>
      </c>
      <c r="R62" s="11">
        <v>3</v>
      </c>
    </row>
    <row r="63" spans="1:18" ht="12.75">
      <c r="A63" s="11">
        <v>24</v>
      </c>
      <c r="B63" s="34" t="s">
        <v>41</v>
      </c>
      <c r="C63" s="12">
        <v>20</v>
      </c>
      <c r="D63" s="12">
        <v>204</v>
      </c>
      <c r="E63" s="16">
        <f>204/20</f>
        <v>10.2</v>
      </c>
      <c r="F63" s="17">
        <v>476</v>
      </c>
      <c r="G63" s="16">
        <f>476/20</f>
        <v>23.8</v>
      </c>
      <c r="H63" s="17">
        <v>69</v>
      </c>
      <c r="I63" s="16">
        <f>69/20</f>
        <v>3.45</v>
      </c>
      <c r="J63" s="12">
        <v>92</v>
      </c>
      <c r="K63" s="16">
        <f>92/20</f>
        <v>4.6</v>
      </c>
      <c r="L63" s="12">
        <v>137</v>
      </c>
      <c r="M63" s="15">
        <v>49</v>
      </c>
      <c r="N63" s="15">
        <v>186</v>
      </c>
      <c r="O63" s="16">
        <f>186/20</f>
        <v>9.3</v>
      </c>
      <c r="P63" s="12">
        <v>14</v>
      </c>
      <c r="Q63" s="11">
        <v>3</v>
      </c>
      <c r="R63" s="11">
        <v>7</v>
      </c>
    </row>
    <row r="64" spans="1:18" ht="12.75">
      <c r="A64" s="11">
        <v>42</v>
      </c>
      <c r="B64" s="11" t="s">
        <v>81</v>
      </c>
      <c r="C64" s="12">
        <v>19</v>
      </c>
      <c r="D64" s="12">
        <v>71</v>
      </c>
      <c r="E64" s="16">
        <f>71/19</f>
        <v>3.736842105263158</v>
      </c>
      <c r="F64" s="17">
        <v>349</v>
      </c>
      <c r="G64" s="16">
        <f>349/19</f>
        <v>18.36842105263158</v>
      </c>
      <c r="H64" s="17">
        <v>48</v>
      </c>
      <c r="I64" s="16">
        <f>48/19</f>
        <v>2.526315789473684</v>
      </c>
      <c r="J64" s="12">
        <v>35</v>
      </c>
      <c r="K64" s="16">
        <f>35/19</f>
        <v>1.8421052631578947</v>
      </c>
      <c r="L64" s="12">
        <v>53</v>
      </c>
      <c r="M64" s="15">
        <v>23</v>
      </c>
      <c r="N64" s="15">
        <v>76</v>
      </c>
      <c r="O64" s="20">
        <f>76/19</f>
        <v>4</v>
      </c>
      <c r="P64" s="12">
        <v>6</v>
      </c>
      <c r="Q64" s="11">
        <v>16</v>
      </c>
      <c r="R64" s="11">
        <v>3</v>
      </c>
    </row>
    <row r="65" spans="1:18" ht="12.75">
      <c r="A65" s="11" t="s">
        <v>82</v>
      </c>
      <c r="B65" s="34" t="s">
        <v>83</v>
      </c>
      <c r="C65" s="12">
        <v>7</v>
      </c>
      <c r="D65" s="12">
        <v>17</v>
      </c>
      <c r="E65" s="16">
        <v>2.4285714285714284</v>
      </c>
      <c r="F65" s="17">
        <v>120</v>
      </c>
      <c r="G65" s="20">
        <f>120/7</f>
        <v>17.142857142857142</v>
      </c>
      <c r="H65" s="17">
        <v>12</v>
      </c>
      <c r="I65" s="20">
        <f>12/7</f>
        <v>1.7142857142857142</v>
      </c>
      <c r="J65" s="17">
        <v>13</v>
      </c>
      <c r="K65" s="20">
        <f>13/7</f>
        <v>1.8571428571428572</v>
      </c>
      <c r="L65" s="17">
        <v>20</v>
      </c>
      <c r="M65" s="19">
        <v>6</v>
      </c>
      <c r="N65" s="19">
        <v>26</v>
      </c>
      <c r="O65" s="16">
        <f>26/7</f>
        <v>3.7142857142857144</v>
      </c>
      <c r="P65" s="12">
        <v>0</v>
      </c>
      <c r="Q65" s="11">
        <v>1</v>
      </c>
      <c r="R65" s="11">
        <v>3</v>
      </c>
    </row>
    <row r="66" spans="1:18" ht="12.75">
      <c r="A66" s="11"/>
      <c r="B66" s="11"/>
      <c r="C66" s="12"/>
      <c r="D66" s="12"/>
      <c r="E66" s="16"/>
      <c r="F66" s="17"/>
      <c r="G66" s="16"/>
      <c r="H66" s="12"/>
      <c r="I66" s="16"/>
      <c r="J66" s="12"/>
      <c r="K66" s="16"/>
      <c r="L66" s="12"/>
      <c r="M66" s="15"/>
      <c r="N66" s="15"/>
      <c r="O66" s="16"/>
      <c r="P66" s="12"/>
      <c r="Q66" s="11"/>
      <c r="R66" s="11"/>
    </row>
    <row r="67" spans="1:18" ht="12.75">
      <c r="A67" s="11"/>
      <c r="B67" s="11"/>
      <c r="C67" s="12"/>
      <c r="D67" s="12"/>
      <c r="E67" s="12"/>
      <c r="F67" s="17"/>
      <c r="G67" s="12"/>
      <c r="H67" s="12"/>
      <c r="I67" s="12"/>
      <c r="J67" s="12"/>
      <c r="K67" s="16"/>
      <c r="L67" s="12"/>
      <c r="M67" s="16"/>
      <c r="N67" s="15"/>
      <c r="O67" s="12"/>
      <c r="P67" s="11"/>
      <c r="Q67" s="11"/>
      <c r="R67" s="11"/>
    </row>
    <row r="68" spans="1:18" ht="12.75">
      <c r="A68" s="11"/>
      <c r="B68" s="11"/>
      <c r="C68" s="12"/>
      <c r="D68" s="12"/>
      <c r="E68" s="12"/>
      <c r="F68" s="17"/>
      <c r="G68" s="12"/>
      <c r="H68" s="12"/>
      <c r="I68" s="12"/>
      <c r="J68" s="11"/>
      <c r="K68" s="26"/>
      <c r="L68" s="11"/>
      <c r="M68" s="27"/>
      <c r="N68" s="26"/>
      <c r="Q68" s="11"/>
      <c r="R68" s="11"/>
    </row>
    <row r="69" spans="1:18" ht="12.75">
      <c r="A69" s="7" t="s">
        <v>23</v>
      </c>
      <c r="B69" s="7" t="s">
        <v>24</v>
      </c>
      <c r="C69" s="7" t="s">
        <v>44</v>
      </c>
      <c r="D69" s="7" t="s">
        <v>45</v>
      </c>
      <c r="E69" s="7" t="s">
        <v>46</v>
      </c>
      <c r="F69" s="7" t="s">
        <v>4</v>
      </c>
      <c r="G69" s="7" t="s">
        <v>5</v>
      </c>
      <c r="H69" s="7" t="s">
        <v>6</v>
      </c>
      <c r="I69" s="7" t="s">
        <v>11</v>
      </c>
      <c r="J69" s="7" t="s">
        <v>34</v>
      </c>
      <c r="K69" s="8" t="s">
        <v>47</v>
      </c>
      <c r="L69" s="7" t="s">
        <v>34</v>
      </c>
      <c r="M69" s="35" t="s">
        <v>48</v>
      </c>
      <c r="N69" s="36"/>
      <c r="O69" s="10" t="s">
        <v>49</v>
      </c>
      <c r="P69" s="37" t="s">
        <v>34</v>
      </c>
      <c r="Q69" s="11"/>
      <c r="R69" s="11"/>
    </row>
    <row r="70" spans="1:17" ht="12.75">
      <c r="A70" s="11">
        <v>4</v>
      </c>
      <c r="B70" s="11" t="s">
        <v>76</v>
      </c>
      <c r="C70" s="21" t="s">
        <v>236</v>
      </c>
      <c r="D70" s="41">
        <f>40/75</f>
        <v>0.5333333333333333</v>
      </c>
      <c r="E70" s="21" t="s">
        <v>237</v>
      </c>
      <c r="F70" s="41">
        <f>29/61</f>
        <v>0.47540983606557374</v>
      </c>
      <c r="G70" s="21" t="s">
        <v>162</v>
      </c>
      <c r="H70" s="41">
        <f>1/13</f>
        <v>0.07692307692307693</v>
      </c>
      <c r="I70" s="22">
        <v>50</v>
      </c>
      <c r="J70" s="47">
        <f>50/24</f>
        <v>2.0833333333333335</v>
      </c>
      <c r="K70" s="48">
        <v>65</v>
      </c>
      <c r="L70" s="47">
        <f>65/24</f>
        <v>2.7083333333333335</v>
      </c>
      <c r="M70" s="49"/>
      <c r="N70" s="50">
        <v>15</v>
      </c>
      <c r="O70" s="1">
        <v>96</v>
      </c>
      <c r="P70" s="38">
        <f>96/24</f>
        <v>4</v>
      </c>
      <c r="Q70" s="1"/>
    </row>
    <row r="71" spans="1:18" ht="12.75">
      <c r="A71" s="11">
        <v>5</v>
      </c>
      <c r="B71" s="11" t="s">
        <v>77</v>
      </c>
      <c r="C71" s="17" t="s">
        <v>238</v>
      </c>
      <c r="D71" s="25">
        <f>70/92</f>
        <v>0.7608695652173914</v>
      </c>
      <c r="E71" s="17" t="s">
        <v>239</v>
      </c>
      <c r="F71" s="25">
        <f>41/103</f>
        <v>0.39805825242718446</v>
      </c>
      <c r="G71" s="17" t="s">
        <v>240</v>
      </c>
      <c r="H71" s="25">
        <f>7/28</f>
        <v>0.25</v>
      </c>
      <c r="I71" s="12">
        <v>41</v>
      </c>
      <c r="J71" s="16">
        <f>41/23</f>
        <v>1.7826086956521738</v>
      </c>
      <c r="K71" s="15">
        <v>21</v>
      </c>
      <c r="L71" s="16">
        <f>21/23</f>
        <v>0.9130434782608695</v>
      </c>
      <c r="M71" s="38"/>
      <c r="N71" s="39">
        <v>-20</v>
      </c>
      <c r="O71" s="1">
        <v>138</v>
      </c>
      <c r="P71" s="38">
        <f>138/23</f>
        <v>6</v>
      </c>
      <c r="Q71" s="1"/>
      <c r="R71" t="s">
        <v>88</v>
      </c>
    </row>
    <row r="72" spans="1:17" ht="12.75">
      <c r="A72" s="11">
        <v>6</v>
      </c>
      <c r="B72" s="11" t="s">
        <v>36</v>
      </c>
      <c r="C72" s="17" t="s">
        <v>221</v>
      </c>
      <c r="D72" s="25">
        <f>14/24</f>
        <v>0.5833333333333334</v>
      </c>
      <c r="E72" s="17" t="s">
        <v>242</v>
      </c>
      <c r="F72" s="25">
        <f>16/36</f>
        <v>0.4444444444444444</v>
      </c>
      <c r="G72" s="17" t="s">
        <v>243</v>
      </c>
      <c r="H72" s="25">
        <f>12/41</f>
        <v>0.2926829268292683</v>
      </c>
      <c r="I72" s="12">
        <v>26</v>
      </c>
      <c r="J72" s="16">
        <f>26/22</f>
        <v>1.1818181818181819</v>
      </c>
      <c r="K72" s="15">
        <v>35</v>
      </c>
      <c r="L72" s="16">
        <f>35/22</f>
        <v>1.5909090909090908</v>
      </c>
      <c r="M72" s="38"/>
      <c r="N72" s="39">
        <v>9</v>
      </c>
      <c r="O72" s="1">
        <v>57</v>
      </c>
      <c r="P72" s="38">
        <f>57/22</f>
        <v>2.590909090909091</v>
      </c>
      <c r="Q72" s="1"/>
    </row>
    <row r="73" spans="1:17" ht="12.75">
      <c r="A73" s="11">
        <v>8</v>
      </c>
      <c r="B73" s="11" t="s">
        <v>78</v>
      </c>
      <c r="C73" s="17" t="s">
        <v>87</v>
      </c>
      <c r="D73" s="25">
        <f>0/2</f>
        <v>0</v>
      </c>
      <c r="E73" s="17" t="s">
        <v>97</v>
      </c>
      <c r="F73" s="25">
        <f>2/3</f>
        <v>0.6666666666666666</v>
      </c>
      <c r="G73" s="17" t="s">
        <v>87</v>
      </c>
      <c r="H73" s="25">
        <f>0/2</f>
        <v>0</v>
      </c>
      <c r="I73" s="12">
        <v>0</v>
      </c>
      <c r="J73" s="16">
        <f>0/3</f>
        <v>0</v>
      </c>
      <c r="K73" s="15">
        <v>3</v>
      </c>
      <c r="L73" s="16">
        <f>3/3</f>
        <v>1</v>
      </c>
      <c r="M73" s="38"/>
      <c r="N73" s="39">
        <v>3</v>
      </c>
      <c r="O73" s="6">
        <v>2</v>
      </c>
      <c r="P73" s="38">
        <f>2/3</f>
        <v>0.6666666666666666</v>
      </c>
      <c r="Q73" s="1"/>
    </row>
    <row r="74" spans="1:17" ht="12.75">
      <c r="A74" s="11">
        <v>9</v>
      </c>
      <c r="B74" s="11" t="s">
        <v>79</v>
      </c>
      <c r="C74" s="17" t="s">
        <v>130</v>
      </c>
      <c r="D74" s="25">
        <f>14/22</f>
        <v>0.6363636363636364</v>
      </c>
      <c r="E74" s="17" t="s">
        <v>131</v>
      </c>
      <c r="F74" s="25">
        <f>8/17</f>
        <v>0.47058823529411764</v>
      </c>
      <c r="G74" s="17" t="s">
        <v>132</v>
      </c>
      <c r="H74" s="25">
        <f>0/5</f>
        <v>0</v>
      </c>
      <c r="I74" s="12">
        <v>11</v>
      </c>
      <c r="J74" s="16">
        <f>11/7</f>
        <v>1.5714285714285714</v>
      </c>
      <c r="K74" s="15">
        <v>12</v>
      </c>
      <c r="L74" s="16">
        <f>12/7</f>
        <v>1.7142857142857142</v>
      </c>
      <c r="M74" s="38"/>
      <c r="N74" s="39">
        <v>1</v>
      </c>
      <c r="O74" s="6">
        <v>32</v>
      </c>
      <c r="P74" s="38">
        <f>32/7</f>
        <v>4.571428571428571</v>
      </c>
      <c r="Q74" s="1"/>
    </row>
    <row r="75" spans="1:17" ht="12.75">
      <c r="A75" s="11">
        <v>10</v>
      </c>
      <c r="B75" s="11" t="s">
        <v>37</v>
      </c>
      <c r="C75" s="17" t="s">
        <v>244</v>
      </c>
      <c r="D75" s="25">
        <f>17/24</f>
        <v>0.7083333333333334</v>
      </c>
      <c r="E75" s="17" t="s">
        <v>245</v>
      </c>
      <c r="F75" s="25">
        <f>24/42</f>
        <v>0.5714285714285714</v>
      </c>
      <c r="G75" s="17" t="s">
        <v>246</v>
      </c>
      <c r="H75" s="25">
        <f>30/107</f>
        <v>0.2803738317757009</v>
      </c>
      <c r="I75" s="12">
        <v>22</v>
      </c>
      <c r="J75" s="16">
        <f>22/22</f>
        <v>1</v>
      </c>
      <c r="K75" s="15">
        <v>30</v>
      </c>
      <c r="L75" s="16">
        <f>30/22</f>
        <v>1.3636363636363635</v>
      </c>
      <c r="M75" s="38"/>
      <c r="N75" s="39">
        <v>8</v>
      </c>
      <c r="O75" s="6">
        <v>64</v>
      </c>
      <c r="P75" s="38">
        <f>64/22</f>
        <v>2.909090909090909</v>
      </c>
      <c r="Q75" s="1"/>
    </row>
    <row r="76" spans="1:17" ht="12.75">
      <c r="A76" s="11">
        <v>11</v>
      </c>
      <c r="B76" s="11" t="s">
        <v>42</v>
      </c>
      <c r="C76" s="17" t="s">
        <v>256</v>
      </c>
      <c r="D76" s="25">
        <f>11/16</f>
        <v>0.6875</v>
      </c>
      <c r="E76" s="17" t="s">
        <v>184</v>
      </c>
      <c r="F76" s="25">
        <f>17/40</f>
        <v>0.425</v>
      </c>
      <c r="G76" s="17" t="s">
        <v>50</v>
      </c>
      <c r="H76" s="25">
        <v>0</v>
      </c>
      <c r="I76" s="12">
        <v>11</v>
      </c>
      <c r="J76" s="16">
        <f>11/9</f>
        <v>1.2222222222222223</v>
      </c>
      <c r="K76" s="15">
        <v>13</v>
      </c>
      <c r="L76" s="16">
        <f>13/9</f>
        <v>1.4444444444444444</v>
      </c>
      <c r="M76" s="38"/>
      <c r="N76" s="39">
        <v>2</v>
      </c>
      <c r="O76" s="6">
        <v>45</v>
      </c>
      <c r="P76" s="38">
        <f>45/9</f>
        <v>5</v>
      </c>
      <c r="Q76" s="1"/>
    </row>
    <row r="77" spans="1:17" ht="12.75">
      <c r="A77" s="11" t="s">
        <v>206</v>
      </c>
      <c r="B77" s="11" t="s">
        <v>207</v>
      </c>
      <c r="C77" s="17" t="s">
        <v>50</v>
      </c>
      <c r="D77" s="25">
        <v>0</v>
      </c>
      <c r="E77" s="17" t="s">
        <v>129</v>
      </c>
      <c r="F77" s="25">
        <f>0/1</f>
        <v>0</v>
      </c>
      <c r="G77" s="17" t="s">
        <v>50</v>
      </c>
      <c r="H77" s="25">
        <v>0</v>
      </c>
      <c r="I77" s="12">
        <v>2</v>
      </c>
      <c r="J77" s="16">
        <f>2/1</f>
        <v>2</v>
      </c>
      <c r="K77" s="15">
        <v>1</v>
      </c>
      <c r="L77" s="16">
        <f>1/1</f>
        <v>1</v>
      </c>
      <c r="M77" s="38"/>
      <c r="N77" s="39">
        <v>-1</v>
      </c>
      <c r="O77" s="6">
        <v>-2</v>
      </c>
      <c r="P77" s="38">
        <f>-2/1</f>
        <v>-2</v>
      </c>
      <c r="Q77" s="1"/>
    </row>
    <row r="78" spans="1:17" ht="12.75">
      <c r="A78" s="11">
        <v>13</v>
      </c>
      <c r="B78" s="11" t="s">
        <v>80</v>
      </c>
      <c r="C78" s="17" t="s">
        <v>177</v>
      </c>
      <c r="D78" s="25">
        <f>10/13</f>
        <v>0.7692307692307693</v>
      </c>
      <c r="E78" s="17" t="s">
        <v>248</v>
      </c>
      <c r="F78" s="25">
        <f>70/126</f>
        <v>0.5555555555555556</v>
      </c>
      <c r="G78" s="17" t="s">
        <v>249</v>
      </c>
      <c r="H78" s="25">
        <f>35/124</f>
        <v>0.28225806451612906</v>
      </c>
      <c r="I78" s="12">
        <v>20</v>
      </c>
      <c r="J78" s="16">
        <f>20/25</f>
        <v>0.8</v>
      </c>
      <c r="K78" s="15">
        <v>33</v>
      </c>
      <c r="L78" s="16">
        <f>33/25</f>
        <v>1.32</v>
      </c>
      <c r="M78" s="38"/>
      <c r="N78" s="39">
        <v>13</v>
      </c>
      <c r="O78" s="1">
        <v>114</v>
      </c>
      <c r="P78" s="38">
        <f>114/25</f>
        <v>4.56</v>
      </c>
      <c r="Q78" s="1"/>
    </row>
    <row r="79" spans="1:17" ht="12.75">
      <c r="A79" s="11">
        <v>22</v>
      </c>
      <c r="B79" s="11" t="s">
        <v>208</v>
      </c>
      <c r="C79" s="17" t="s">
        <v>50</v>
      </c>
      <c r="D79" s="25">
        <v>0</v>
      </c>
      <c r="E79" s="17" t="s">
        <v>129</v>
      </c>
      <c r="F79" s="25">
        <f>0/1</f>
        <v>0</v>
      </c>
      <c r="G79" s="17" t="s">
        <v>50</v>
      </c>
      <c r="H79" s="25">
        <v>0</v>
      </c>
      <c r="I79" s="12">
        <v>0</v>
      </c>
      <c r="J79" s="16">
        <v>0</v>
      </c>
      <c r="K79" s="15">
        <v>0</v>
      </c>
      <c r="L79" s="16">
        <v>0</v>
      </c>
      <c r="M79" s="38"/>
      <c r="N79" s="39">
        <v>0</v>
      </c>
      <c r="O79" s="1">
        <v>0</v>
      </c>
      <c r="P79" s="38">
        <f>0/1</f>
        <v>0</v>
      </c>
      <c r="Q79" s="1"/>
    </row>
    <row r="80" spans="1:17" ht="12.75">
      <c r="A80" s="11">
        <v>16</v>
      </c>
      <c r="B80" s="11" t="s">
        <v>39</v>
      </c>
      <c r="C80" s="17" t="s">
        <v>141</v>
      </c>
      <c r="D80" s="25">
        <f>25/28</f>
        <v>0.8928571428571429</v>
      </c>
      <c r="E80" s="17" t="s">
        <v>179</v>
      </c>
      <c r="F80" s="25">
        <f>41/76</f>
        <v>0.5394736842105263</v>
      </c>
      <c r="G80" s="17" t="s">
        <v>142</v>
      </c>
      <c r="H80" s="25">
        <f>0/6</f>
        <v>0</v>
      </c>
      <c r="I80" s="12">
        <v>26</v>
      </c>
      <c r="J80" s="16">
        <f>26/13</f>
        <v>2</v>
      </c>
      <c r="K80" s="15">
        <v>13</v>
      </c>
      <c r="L80" s="16">
        <f>13/13</f>
        <v>1</v>
      </c>
      <c r="M80" s="38"/>
      <c r="N80" s="39">
        <v>-13</v>
      </c>
      <c r="O80" s="1">
        <v>100</v>
      </c>
      <c r="P80" s="38">
        <f>100/13</f>
        <v>7.6923076923076925</v>
      </c>
      <c r="Q80" s="1"/>
    </row>
    <row r="81" spans="1:17" ht="12.75">
      <c r="A81" s="11">
        <v>18</v>
      </c>
      <c r="B81" s="11" t="s">
        <v>38</v>
      </c>
      <c r="C81" s="17" t="s">
        <v>250</v>
      </c>
      <c r="D81" s="25">
        <f>86/125</f>
        <v>0.688</v>
      </c>
      <c r="E81" s="17" t="s">
        <v>251</v>
      </c>
      <c r="F81" s="25">
        <f>63/108</f>
        <v>0.5833333333333334</v>
      </c>
      <c r="G81" s="17" t="s">
        <v>252</v>
      </c>
      <c r="H81" s="25">
        <f>25/75</f>
        <v>0.3333333333333333</v>
      </c>
      <c r="I81" s="12">
        <v>39</v>
      </c>
      <c r="J81" s="16">
        <f>39/25</f>
        <v>1.56</v>
      </c>
      <c r="K81" s="15">
        <v>65</v>
      </c>
      <c r="L81" s="16">
        <f>65/25</f>
        <v>2.6</v>
      </c>
      <c r="M81" s="38"/>
      <c r="N81" s="39">
        <v>26</v>
      </c>
      <c r="O81" s="1">
        <v>413</v>
      </c>
      <c r="P81" s="38">
        <f>413/25</f>
        <v>16.52</v>
      </c>
      <c r="Q81" s="1"/>
    </row>
    <row r="82" spans="1:17" ht="12.75">
      <c r="A82" s="11">
        <v>19</v>
      </c>
      <c r="B82" s="11" t="s">
        <v>40</v>
      </c>
      <c r="C82" s="17" t="s">
        <v>222</v>
      </c>
      <c r="D82" s="25">
        <f>4/8</f>
        <v>0.5</v>
      </c>
      <c r="E82" s="17" t="s">
        <v>173</v>
      </c>
      <c r="F82" s="25">
        <f>5/13</f>
        <v>0.38461538461538464</v>
      </c>
      <c r="G82" s="17" t="s">
        <v>50</v>
      </c>
      <c r="H82" s="25">
        <v>0</v>
      </c>
      <c r="I82" s="12">
        <v>5</v>
      </c>
      <c r="J82" s="16">
        <f>5/5</f>
        <v>1</v>
      </c>
      <c r="K82" s="15">
        <v>2</v>
      </c>
      <c r="L82" s="16">
        <f>2/5</f>
        <v>0.4</v>
      </c>
      <c r="M82" s="38"/>
      <c r="N82" s="39">
        <v>-3</v>
      </c>
      <c r="O82" s="1">
        <v>16</v>
      </c>
      <c r="P82" s="38">
        <f>16/5</f>
        <v>3.2</v>
      </c>
      <c r="Q82" s="1"/>
    </row>
    <row r="83" spans="1:17" ht="12.75">
      <c r="A83" s="11">
        <v>20</v>
      </c>
      <c r="B83" s="11" t="s">
        <v>139</v>
      </c>
      <c r="C83" s="17" t="s">
        <v>247</v>
      </c>
      <c r="D83" s="25">
        <f>26/33</f>
        <v>0.7878787878787878</v>
      </c>
      <c r="E83" s="17" t="s">
        <v>124</v>
      </c>
      <c r="F83" s="25">
        <f>18/33</f>
        <v>0.5454545454545454</v>
      </c>
      <c r="G83" s="17" t="s">
        <v>223</v>
      </c>
      <c r="H83" s="25">
        <f>1/9</f>
        <v>0.1111111111111111</v>
      </c>
      <c r="I83" s="12">
        <v>18</v>
      </c>
      <c r="J83" s="16">
        <f>18/13</f>
        <v>1.3846153846153846</v>
      </c>
      <c r="K83" s="15">
        <v>19</v>
      </c>
      <c r="L83" s="16">
        <f>19/13</f>
        <v>1.4615384615384615</v>
      </c>
      <c r="M83" s="38"/>
      <c r="N83" s="39">
        <v>1</v>
      </c>
      <c r="O83" s="1">
        <v>70</v>
      </c>
      <c r="P83" s="38">
        <f>70/13</f>
        <v>5.384615384615385</v>
      </c>
      <c r="Q83" s="1"/>
    </row>
    <row r="84" spans="1:17" ht="12.75">
      <c r="A84" s="11">
        <v>23</v>
      </c>
      <c r="B84" s="11" t="s">
        <v>43</v>
      </c>
      <c r="C84" s="17" t="s">
        <v>260</v>
      </c>
      <c r="D84" s="25">
        <f>39/62</f>
        <v>0.6290322580645161</v>
      </c>
      <c r="E84" s="17" t="s">
        <v>261</v>
      </c>
      <c r="F84" s="25">
        <f>58/126</f>
        <v>0.4603174603174603</v>
      </c>
      <c r="G84" s="17" t="s">
        <v>129</v>
      </c>
      <c r="H84" s="25">
        <f>0/1</f>
        <v>0</v>
      </c>
      <c r="I84" s="12">
        <v>24</v>
      </c>
      <c r="J84" s="16">
        <f>24/16</f>
        <v>1.5</v>
      </c>
      <c r="K84" s="15">
        <v>38</v>
      </c>
      <c r="L84" s="16">
        <f>38/16</f>
        <v>2.375</v>
      </c>
      <c r="M84" s="38"/>
      <c r="N84" s="39">
        <v>14</v>
      </c>
      <c r="O84" s="1">
        <v>250</v>
      </c>
      <c r="P84" s="38">
        <f>250/16</f>
        <v>15.625</v>
      </c>
      <c r="Q84" s="1"/>
    </row>
    <row r="85" spans="1:18" ht="12.75">
      <c r="A85" s="11">
        <v>24</v>
      </c>
      <c r="B85" s="34" t="s">
        <v>41</v>
      </c>
      <c r="C85" s="17" t="s">
        <v>257</v>
      </c>
      <c r="D85" s="25">
        <f>52/122</f>
        <v>0.4262295081967213</v>
      </c>
      <c r="E85" s="17" t="s">
        <v>258</v>
      </c>
      <c r="F85" s="25">
        <f>58/129</f>
        <v>0.4496124031007752</v>
      </c>
      <c r="G85" s="17" t="s">
        <v>259</v>
      </c>
      <c r="H85" s="25">
        <f>12/48</f>
        <v>0.25</v>
      </c>
      <c r="I85" s="12">
        <v>40</v>
      </c>
      <c r="J85" s="16">
        <f>40/20</f>
        <v>2</v>
      </c>
      <c r="K85" s="15">
        <v>45</v>
      </c>
      <c r="L85" s="16">
        <f>45/20</f>
        <v>2.25</v>
      </c>
      <c r="M85" s="38"/>
      <c r="N85" s="39">
        <v>5</v>
      </c>
      <c r="O85" s="1">
        <v>252</v>
      </c>
      <c r="P85" s="38">
        <f>252/20</f>
        <v>12.6</v>
      </c>
      <c r="Q85" s="1"/>
      <c r="R85" t="s">
        <v>241</v>
      </c>
    </row>
    <row r="86" spans="1:18" ht="12.75">
      <c r="A86" s="11">
        <v>42</v>
      </c>
      <c r="B86" s="11" t="s">
        <v>81</v>
      </c>
      <c r="C86" s="17" t="s">
        <v>253</v>
      </c>
      <c r="D86" s="25">
        <f>16/40</f>
        <v>0.4</v>
      </c>
      <c r="E86" s="17" t="s">
        <v>254</v>
      </c>
      <c r="F86" s="25">
        <f>26/77</f>
        <v>0.33766233766233766</v>
      </c>
      <c r="G86" s="17" t="s">
        <v>255</v>
      </c>
      <c r="H86" s="25">
        <f>1/4</f>
        <v>0.25</v>
      </c>
      <c r="I86" s="12">
        <v>25</v>
      </c>
      <c r="J86" s="16">
        <f>25/19</f>
        <v>1.3157894736842106</v>
      </c>
      <c r="K86" s="15">
        <v>14</v>
      </c>
      <c r="L86" s="16">
        <f>14/19</f>
        <v>0.7368421052631579</v>
      </c>
      <c r="M86" s="16"/>
      <c r="N86" s="51">
        <v>-11</v>
      </c>
      <c r="O86" s="1">
        <v>63</v>
      </c>
      <c r="P86" s="38">
        <f>63/19</f>
        <v>3.3157894736842106</v>
      </c>
      <c r="Q86" s="1"/>
      <c r="R86" t="s">
        <v>88</v>
      </c>
    </row>
    <row r="87" spans="1:17" ht="12.75">
      <c r="A87" s="11" t="s">
        <v>82</v>
      </c>
      <c r="B87" s="34" t="s">
        <v>83</v>
      </c>
      <c r="C87" s="17" t="s">
        <v>173</v>
      </c>
      <c r="D87" s="25">
        <f>5/13</f>
        <v>0.38461538461538464</v>
      </c>
      <c r="E87" s="17" t="s">
        <v>180</v>
      </c>
      <c r="F87" s="25">
        <f>6/14</f>
        <v>0.42857142857142855</v>
      </c>
      <c r="G87" s="17" t="s">
        <v>129</v>
      </c>
      <c r="H87" s="52">
        <f>0/1</f>
        <v>0</v>
      </c>
      <c r="I87" s="17">
        <v>3</v>
      </c>
      <c r="J87" s="16">
        <f>3/7</f>
        <v>0.42857142857142855</v>
      </c>
      <c r="K87" s="19">
        <v>7</v>
      </c>
      <c r="L87" s="16">
        <f>7/7</f>
        <v>1</v>
      </c>
      <c r="M87" s="16"/>
      <c r="N87" s="51">
        <v>4</v>
      </c>
      <c r="O87" s="1">
        <v>29</v>
      </c>
      <c r="P87" s="38">
        <f>29/7</f>
        <v>4.142857142857143</v>
      </c>
      <c r="Q87" s="1"/>
    </row>
    <row r="88" spans="1:17" ht="12.75">
      <c r="A88" s="11"/>
      <c r="B88" s="11"/>
      <c r="C88" s="17"/>
      <c r="D88" s="25"/>
      <c r="E88" s="17"/>
      <c r="F88" s="25"/>
      <c r="G88" s="17"/>
      <c r="H88" s="25"/>
      <c r="I88" s="12"/>
      <c r="J88" s="16"/>
      <c r="K88" s="15"/>
      <c r="L88" s="16"/>
      <c r="M88" s="16"/>
      <c r="N88" s="51"/>
      <c r="O88" s="1"/>
      <c r="P88" s="38"/>
      <c r="Q88" s="1"/>
    </row>
    <row r="89" spans="3:17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printOptions/>
  <pageMargins left="0" right="0" top="0" bottom="0" header="0" footer="0"/>
  <pageSetup horizontalDpi="300" verticalDpi="300" orientation="landscape" paperSize="9" r:id="rId2"/>
  <ignoredErrors>
    <ignoredError sqref="O19 O30" twoDigitTextYear="1"/>
    <ignoredError sqref="F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2008-05-11T06:07:02Z</cp:lastPrinted>
  <dcterms:created xsi:type="dcterms:W3CDTF">2007-11-12T19:51:33Z</dcterms:created>
  <dcterms:modified xsi:type="dcterms:W3CDTF">2008-05-11T07:34:57Z</dcterms:modified>
  <cp:category/>
  <cp:version/>
  <cp:contentType/>
  <cp:contentStatus/>
</cp:coreProperties>
</file>