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<sst xmlns="http://schemas.openxmlformats.org/spreadsheetml/2006/main" count="312" uniqueCount="247">
  <si>
    <t xml:space="preserve">STATISTICHE DI SQUADRA </t>
  </si>
  <si>
    <t xml:space="preserve">GIORNATA </t>
  </si>
  <si>
    <t xml:space="preserve">PARTITA </t>
  </si>
  <si>
    <t>T 2</t>
  </si>
  <si>
    <t>% T2</t>
  </si>
  <si>
    <t>T3</t>
  </si>
  <si>
    <t>% T3</t>
  </si>
  <si>
    <t>TL</t>
  </si>
  <si>
    <t>% TL</t>
  </si>
  <si>
    <t>RIM. D.</t>
  </si>
  <si>
    <t>RIM. O</t>
  </si>
  <si>
    <t>PP</t>
  </si>
  <si>
    <t>RE</t>
  </si>
  <si>
    <t>STOP</t>
  </si>
  <si>
    <t>ASS</t>
  </si>
  <si>
    <t>FALLI</t>
  </si>
  <si>
    <t>miglior prestazione</t>
  </si>
  <si>
    <t>peggior prestazione</t>
  </si>
  <si>
    <t>maglia</t>
  </si>
  <si>
    <t>Giocatore</t>
  </si>
  <si>
    <t>Giocate</t>
  </si>
  <si>
    <t>Punti</t>
  </si>
  <si>
    <t>media p.</t>
  </si>
  <si>
    <t>RD</t>
  </si>
  <si>
    <t>RO</t>
  </si>
  <si>
    <t>media</t>
  </si>
  <si>
    <t xml:space="preserve">media </t>
  </si>
  <si>
    <t>Giordano Andrea</t>
  </si>
  <si>
    <t>Farne' Giacomo</t>
  </si>
  <si>
    <t>Corticelli Mauro</t>
  </si>
  <si>
    <t>Garuti Michele</t>
  </si>
  <si>
    <t>Benetti Fabrizio</t>
  </si>
  <si>
    <t>Brini Stefano</t>
  </si>
  <si>
    <t>Matteuzzi Fabio</t>
  </si>
  <si>
    <t>Branchini Mauro</t>
  </si>
  <si>
    <t>Gardini Claudio</t>
  </si>
  <si>
    <t>Cavallo Sergio</t>
  </si>
  <si>
    <t>Gianni Roberto</t>
  </si>
  <si>
    <t>LoGozzo Domenico</t>
  </si>
  <si>
    <t>tiri liberi</t>
  </si>
  <si>
    <t>%TL</t>
  </si>
  <si>
    <t>T2</t>
  </si>
  <si>
    <t xml:space="preserve">RE </t>
  </si>
  <si>
    <t>saldo RE- PP</t>
  </si>
  <si>
    <t>VAL.</t>
  </si>
  <si>
    <t>1T 51-58</t>
  </si>
  <si>
    <t>2C 69-53</t>
  </si>
  <si>
    <t>3T 77-57</t>
  </si>
  <si>
    <t>4C 70-71</t>
  </si>
  <si>
    <t>Baou Tribe Bagnara BO</t>
  </si>
  <si>
    <t>Forti e Liberi BO</t>
  </si>
  <si>
    <t>Basket Altedo</t>
  </si>
  <si>
    <t>Delco Sport Insieme BO</t>
  </si>
  <si>
    <t>8 su 24</t>
  </si>
  <si>
    <t>9 su 32</t>
  </si>
  <si>
    <t>2 v 4</t>
  </si>
  <si>
    <t>16 su 36</t>
  </si>
  <si>
    <t>7 su 22</t>
  </si>
  <si>
    <t>1 v 1</t>
  </si>
  <si>
    <t>26 su 46</t>
  </si>
  <si>
    <t>5 su 18</t>
  </si>
  <si>
    <t>2 v 1</t>
  </si>
  <si>
    <t>14 su 36</t>
  </si>
  <si>
    <t>6 su 25</t>
  </si>
  <si>
    <t>1 v 2</t>
  </si>
  <si>
    <t>Falli c</t>
  </si>
  <si>
    <t>Falli s</t>
  </si>
  <si>
    <t>RT</t>
  </si>
  <si>
    <t>St. d</t>
  </si>
  <si>
    <t>St. s</t>
  </si>
  <si>
    <t>Assist</t>
  </si>
  <si>
    <t>Val</t>
  </si>
  <si>
    <t>Fiorini Alessandro</t>
  </si>
  <si>
    <t>Molinazzi Nicola</t>
  </si>
  <si>
    <t>Calzolari Matteo</t>
  </si>
  <si>
    <t>Stefanini Giancarlo</t>
  </si>
  <si>
    <t>Fascetti Leon Lorenzo</t>
  </si>
  <si>
    <t>1su2</t>
  </si>
  <si>
    <t>0su0</t>
  </si>
  <si>
    <t>1su4</t>
  </si>
  <si>
    <t>2su4</t>
  </si>
  <si>
    <t>Ellepi Irnerio BO</t>
  </si>
  <si>
    <t>Libertas Alfa Promo BO</t>
  </si>
  <si>
    <t>Malossi Ponticella BO</t>
  </si>
  <si>
    <t>5C 66-51</t>
  </si>
  <si>
    <t>6T 60-46</t>
  </si>
  <si>
    <t>7C 59-37</t>
  </si>
  <si>
    <t>17 su 40</t>
  </si>
  <si>
    <t>4 su 20</t>
  </si>
  <si>
    <t>13su19</t>
  </si>
  <si>
    <t>2 v 2</t>
  </si>
  <si>
    <t>23 su 47</t>
  </si>
  <si>
    <t>2 su 11</t>
  </si>
  <si>
    <t>8 su 10</t>
  </si>
  <si>
    <t>2 v 0</t>
  </si>
  <si>
    <t>17 su 31</t>
  </si>
  <si>
    <t>4 su 22</t>
  </si>
  <si>
    <t>20su31</t>
  </si>
  <si>
    <t>24su33</t>
  </si>
  <si>
    <t>10su19</t>
  </si>
  <si>
    <t>16su20</t>
  </si>
  <si>
    <t>8su13</t>
  </si>
  <si>
    <t>20su28</t>
  </si>
  <si>
    <t>18su52</t>
  </si>
  <si>
    <t>3su11</t>
  </si>
  <si>
    <t>1su15</t>
  </si>
  <si>
    <t>8T 79-60</t>
  </si>
  <si>
    <t>9C 70-52</t>
  </si>
  <si>
    <t>Basket Budrio 1965</t>
  </si>
  <si>
    <t>PGS Welcome BO</t>
  </si>
  <si>
    <t>21 su 36</t>
  </si>
  <si>
    <t>13su21</t>
  </si>
  <si>
    <t>6 v 0</t>
  </si>
  <si>
    <t>Galli Gabriele</t>
  </si>
  <si>
    <t>10C 59-42</t>
  </si>
  <si>
    <t>11T 69-51</t>
  </si>
  <si>
    <t>12C 85-59</t>
  </si>
  <si>
    <t>14 su 31</t>
  </si>
  <si>
    <t>5 su 22</t>
  </si>
  <si>
    <t>16su22</t>
  </si>
  <si>
    <t>2v4</t>
  </si>
  <si>
    <t>7 su 19</t>
  </si>
  <si>
    <t>16su28</t>
  </si>
  <si>
    <t>7 su17</t>
  </si>
  <si>
    <t>22su29</t>
  </si>
  <si>
    <t>5v3</t>
  </si>
  <si>
    <t>15 bis</t>
  </si>
  <si>
    <t>Stagni Mauro</t>
  </si>
  <si>
    <t>10su15</t>
  </si>
  <si>
    <t>16su31</t>
  </si>
  <si>
    <t>13T 89-56</t>
  </si>
  <si>
    <t>14T 78-57</t>
  </si>
  <si>
    <t>15C 72-46</t>
  </si>
  <si>
    <t>21 su 48</t>
  </si>
  <si>
    <t>7 su 16</t>
  </si>
  <si>
    <t>26su34</t>
  </si>
  <si>
    <t>0v0</t>
  </si>
  <si>
    <t>19 su 37</t>
  </si>
  <si>
    <t>4 su 14</t>
  </si>
  <si>
    <t>28su46</t>
  </si>
  <si>
    <t xml:space="preserve">3 v 3 </t>
  </si>
  <si>
    <t>22 su 36</t>
  </si>
  <si>
    <t>8 su 16</t>
  </si>
  <si>
    <t>4su7</t>
  </si>
  <si>
    <t>16T 67-51</t>
  </si>
  <si>
    <t>18 su 41</t>
  </si>
  <si>
    <t>6 su 22</t>
  </si>
  <si>
    <t>15su33</t>
  </si>
  <si>
    <t>12 bis</t>
  </si>
  <si>
    <t>13 bis</t>
  </si>
  <si>
    <t>0 su 0</t>
  </si>
  <si>
    <t>0 su 1</t>
  </si>
  <si>
    <t>8 su 21</t>
  </si>
  <si>
    <t>17C 57-61</t>
  </si>
  <si>
    <t>21 su 46</t>
  </si>
  <si>
    <t>1 su 8</t>
  </si>
  <si>
    <t>12su22</t>
  </si>
  <si>
    <t>0 v 5</t>
  </si>
  <si>
    <t>18T 65-73</t>
  </si>
  <si>
    <t>18 su 39</t>
  </si>
  <si>
    <t>5 su 10</t>
  </si>
  <si>
    <t>7su15</t>
  </si>
  <si>
    <t>Csi Sasso Marconi</t>
  </si>
  <si>
    <t>Atletico Basket BO</t>
  </si>
  <si>
    <t>CMB Castelmaggiore</t>
  </si>
  <si>
    <t>1T 76-50</t>
  </si>
  <si>
    <t>2C 64-60</t>
  </si>
  <si>
    <t>23su44</t>
  </si>
  <si>
    <t>4su12</t>
  </si>
  <si>
    <t>18su26</t>
  </si>
  <si>
    <t>1 v 3</t>
  </si>
  <si>
    <t>11su17</t>
  </si>
  <si>
    <t>16su37</t>
  </si>
  <si>
    <t>7su21</t>
  </si>
  <si>
    <t>3C 80-75</t>
  </si>
  <si>
    <t>25su38</t>
  </si>
  <si>
    <t>14su26</t>
  </si>
  <si>
    <t>9 su 20</t>
  </si>
  <si>
    <t>1 v 0</t>
  </si>
  <si>
    <t>0su8</t>
  </si>
  <si>
    <t>5su11</t>
  </si>
  <si>
    <t>11su20</t>
  </si>
  <si>
    <t>9su16</t>
  </si>
  <si>
    <t>17su40</t>
  </si>
  <si>
    <t>15su21</t>
  </si>
  <si>
    <t>5su18</t>
  </si>
  <si>
    <t>7su30</t>
  </si>
  <si>
    <t>18su23</t>
  </si>
  <si>
    <t>2v3</t>
  </si>
  <si>
    <t>6T 47-64</t>
  </si>
  <si>
    <t>4C 91-42</t>
  </si>
  <si>
    <t>20su23</t>
  </si>
  <si>
    <t>28su43</t>
  </si>
  <si>
    <t>5su17</t>
  </si>
  <si>
    <t>7su10</t>
  </si>
  <si>
    <t>3su7</t>
  </si>
  <si>
    <t>9su20</t>
  </si>
  <si>
    <t>5T 79-57</t>
  </si>
  <si>
    <t xml:space="preserve">Baou Tribe BO  </t>
  </si>
  <si>
    <t>Sem.C  79-67</t>
  </si>
  <si>
    <t>Sem.T  61-63</t>
  </si>
  <si>
    <t>17su28</t>
  </si>
  <si>
    <t>8su22</t>
  </si>
  <si>
    <t>21su30</t>
  </si>
  <si>
    <t>0v3</t>
  </si>
  <si>
    <t>14su37</t>
  </si>
  <si>
    <t>9su24</t>
  </si>
  <si>
    <t>6su15</t>
  </si>
  <si>
    <t>1v0</t>
  </si>
  <si>
    <t>TOTALE</t>
  </si>
  <si>
    <t>431su891</t>
  </si>
  <si>
    <t>140su457</t>
  </si>
  <si>
    <t>375su569</t>
  </si>
  <si>
    <t>m. 21,9</t>
  </si>
  <si>
    <t>m. 7,9</t>
  </si>
  <si>
    <t>48v47</t>
  </si>
  <si>
    <t>m. 13,5</t>
  </si>
  <si>
    <t>m. 14,9</t>
  </si>
  <si>
    <t>m. 6,5</t>
  </si>
  <si>
    <t>m. 19,6</t>
  </si>
  <si>
    <t>m. 68,10</t>
  </si>
  <si>
    <t>Punti fatti 1819  media 70,0   Punti subiti 1459 media 56,1</t>
  </si>
  <si>
    <t>23su36</t>
  </si>
  <si>
    <t>22su39</t>
  </si>
  <si>
    <t>14su38</t>
  </si>
  <si>
    <t>14su19</t>
  </si>
  <si>
    <t>18su38</t>
  </si>
  <si>
    <t>22su58</t>
  </si>
  <si>
    <t>23su34</t>
  </si>
  <si>
    <t>31su63</t>
  </si>
  <si>
    <t>5su22</t>
  </si>
  <si>
    <t>26su48</t>
  </si>
  <si>
    <t>36su122</t>
  </si>
  <si>
    <t>60su93</t>
  </si>
  <si>
    <t>39su91</t>
  </si>
  <si>
    <t>17su49</t>
  </si>
  <si>
    <t>13su18</t>
  </si>
  <si>
    <t>22su47</t>
  </si>
  <si>
    <t>10su25</t>
  </si>
  <si>
    <t>54su95</t>
  </si>
  <si>
    <t>51su111</t>
  </si>
  <si>
    <t>21su87</t>
  </si>
  <si>
    <t>64su80</t>
  </si>
  <si>
    <t>78su159</t>
  </si>
  <si>
    <t>4su13</t>
  </si>
  <si>
    <t>53su78</t>
  </si>
  <si>
    <t>67su117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</si>
</sst>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0" fontId="0" fillId="3" borderId="3" xfId="0" applyFont="1" applyFill="1" applyBorder="1" applyAlignment="1">
      <alignment/>
    </xf>
    <xf numFmtId="0" fontId="0" fillId="4" borderId="3" xfId="0" applyFill="1" applyBorder="1" applyAlignment="1">
      <alignment/>
    </xf>
    <xf numFmtId="0" fontId="2" fillId="0" borderId="0" xfId="0" applyFon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7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right"/>
    </xf>
    <xf numFmtId="1" fontId="0" fillId="0" borderId="0" xfId="0" applyNumberFormat="1" applyAlignment="1">
      <alignment/>
    </xf>
    <xf numFmtId="1" fontId="1" fillId="0" borderId="3" xfId="0" applyNumberFormat="1" applyFont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1" fillId="0" borderId="3" xfId="0" applyNumberFormat="1" applyFont="1" applyBorder="1" applyAlignment="1">
      <alignment horizontal="center"/>
    </xf>
    <xf numFmtId="165" fontId="0" fillId="4" borderId="0" xfId="0" applyNumberFormat="1" applyFill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Fill="1" applyAlignment="1">
      <alignment/>
    </xf>
    <xf numFmtId="165" fontId="1" fillId="0" borderId="1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65" fontId="1" fillId="0" borderId="3" xfId="0" applyNumberFormat="1" applyFont="1" applyFill="1" applyBorder="1" applyAlignment="1">
      <alignment horizontal="center"/>
    </xf>
    <xf numFmtId="1" fontId="0" fillId="4" borderId="0" xfId="0" applyNumberFormat="1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65" fontId="0" fillId="5" borderId="0" xfId="0" applyNumberFormat="1" applyFill="1" applyAlignment="1">
      <alignment horizontal="center"/>
    </xf>
    <xf numFmtId="1" fontId="0" fillId="5" borderId="0" xfId="0" applyNumberFormat="1" applyFill="1" applyAlignment="1">
      <alignment horizontal="center"/>
    </xf>
    <xf numFmtId="0" fontId="0" fillId="5" borderId="0" xfId="0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165" fontId="0" fillId="5" borderId="0" xfId="0" applyNumberFormat="1" applyFill="1" applyAlignment="1">
      <alignment/>
    </xf>
    <xf numFmtId="1" fontId="0" fillId="5" borderId="0" xfId="0" applyNumberFormat="1" applyFill="1" applyAlignment="1">
      <alignment/>
    </xf>
    <xf numFmtId="0" fontId="0" fillId="5" borderId="0" xfId="0" applyFill="1" applyAlignment="1">
      <alignment/>
    </xf>
    <xf numFmtId="165" fontId="0" fillId="5" borderId="0" xfId="0" applyNumberFormat="1" applyFill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10" fontId="0" fillId="5" borderId="0" xfId="0" applyNumberFormat="1" applyFill="1" applyBorder="1" applyAlignment="1">
      <alignment horizontal="center"/>
    </xf>
    <xf numFmtId="1" fontId="0" fillId="5" borderId="0" xfId="0" applyNumberFormat="1" applyFill="1" applyAlignment="1">
      <alignment horizontal="right"/>
    </xf>
    <xf numFmtId="0" fontId="0" fillId="4" borderId="0" xfId="0" applyFont="1" applyFill="1" applyAlignment="1">
      <alignment horizontal="center"/>
    </xf>
    <xf numFmtId="1" fontId="0" fillId="3" borderId="0" xfId="0" applyNumberFormat="1" applyFill="1" applyBorder="1" applyAlignment="1">
      <alignment horizontal="center"/>
    </xf>
    <xf numFmtId="164" fontId="0" fillId="4" borderId="0" xfId="0" applyNumberFormat="1" applyFont="1" applyFill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6" borderId="0" xfId="0" applyFill="1" applyAlignment="1">
      <alignment horizontal="center"/>
    </xf>
    <xf numFmtId="165" fontId="0" fillId="6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0" fontId="0" fillId="6" borderId="0" xfId="0" applyFill="1" applyBorder="1" applyAlignment="1">
      <alignment horizontal="center"/>
    </xf>
    <xf numFmtId="164" fontId="0" fillId="6" borderId="0" xfId="0" applyNumberFormat="1" applyFill="1" applyBorder="1" applyAlignment="1">
      <alignment horizontal="center"/>
    </xf>
    <xf numFmtId="165" fontId="0" fillId="6" borderId="0" xfId="0" applyNumberFormat="1" applyFill="1" applyAlignment="1">
      <alignment/>
    </xf>
    <xf numFmtId="1" fontId="0" fillId="6" borderId="0" xfId="0" applyNumberFormat="1" applyFill="1" applyAlignment="1">
      <alignment/>
    </xf>
    <xf numFmtId="0" fontId="0" fillId="6" borderId="0" xfId="0" applyFill="1" applyAlignment="1">
      <alignment/>
    </xf>
    <xf numFmtId="0" fontId="0" fillId="6" borderId="0" xfId="0" applyFont="1" applyFill="1" applyBorder="1" applyAlignment="1">
      <alignment horizontal="center"/>
    </xf>
    <xf numFmtId="164" fontId="0" fillId="6" borderId="0" xfId="0" applyNumberFormat="1" applyFont="1" applyFill="1" applyBorder="1" applyAlignment="1">
      <alignment horizontal="center"/>
    </xf>
    <xf numFmtId="0" fontId="0" fillId="6" borderId="0" xfId="0" applyFont="1" applyFill="1" applyAlignment="1">
      <alignment horizontal="center"/>
    </xf>
    <xf numFmtId="165" fontId="0" fillId="6" borderId="0" xfId="0" applyNumberFormat="1" applyFont="1" applyFill="1" applyAlignment="1">
      <alignment horizontal="center"/>
    </xf>
    <xf numFmtId="1" fontId="0" fillId="6" borderId="0" xfId="0" applyNumberFormat="1" applyFont="1" applyFill="1" applyAlignment="1">
      <alignment horizontal="center"/>
    </xf>
    <xf numFmtId="165" fontId="0" fillId="6" borderId="0" xfId="0" applyNumberFormat="1" applyFont="1" applyFill="1" applyAlignment="1">
      <alignment/>
    </xf>
    <xf numFmtId="1" fontId="0" fillId="6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0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95250</xdr:rowOff>
    </xdr:from>
    <xdr:to>
      <xdr:col>13</xdr:col>
      <xdr:colOff>9525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95250"/>
          <a:ext cx="7010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28125" style="0" customWidth="1"/>
    <col min="2" max="2" width="23.57421875" style="0" customWidth="1"/>
    <col min="3" max="3" width="8.421875" style="0" customWidth="1"/>
    <col min="4" max="4" width="7.8515625" style="0" customWidth="1"/>
    <col min="6" max="6" width="8.00390625" style="0" customWidth="1"/>
    <col min="7" max="7" width="7.421875" style="0" customWidth="1"/>
    <col min="8" max="8" width="7.57421875" style="0" customWidth="1"/>
    <col min="9" max="9" width="8.28125" style="0" customWidth="1"/>
    <col min="10" max="10" width="6.7109375" style="0" customWidth="1"/>
    <col min="11" max="11" width="6.140625" style="26" customWidth="1"/>
    <col min="12" max="12" width="7.00390625" style="0" customWidth="1"/>
    <col min="13" max="13" width="6.57421875" style="34" customWidth="1"/>
    <col min="14" max="14" width="6.00390625" style="26" customWidth="1"/>
    <col min="15" max="15" width="6.7109375" style="0" customWidth="1"/>
  </cols>
  <sheetData>
    <row r="1" ht="12.75">
      <c r="B1" s="21"/>
    </row>
    <row r="2" ht="12.75"/>
    <row r="3" ht="12.75"/>
    <row r="4" ht="12.75"/>
    <row r="5" ht="12.75"/>
    <row r="6" ht="12.75"/>
    <row r="7" ht="12.75"/>
    <row r="8" ht="12.75"/>
    <row r="11" spans="1:3" ht="12.75">
      <c r="A11" s="1" t="s">
        <v>0</v>
      </c>
      <c r="B11" s="2"/>
      <c r="C11" s="3"/>
    </row>
    <row r="13" spans="1:16" ht="12.75">
      <c r="A13" s="4" t="s">
        <v>1</v>
      </c>
      <c r="B13" s="4" t="s">
        <v>2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27" t="s">
        <v>11</v>
      </c>
      <c r="L13" s="4" t="s">
        <v>12</v>
      </c>
      <c r="M13" s="35" t="s">
        <v>13</v>
      </c>
      <c r="N13" s="27" t="s">
        <v>14</v>
      </c>
      <c r="O13" s="4" t="s">
        <v>15</v>
      </c>
      <c r="P13" s="23" t="s">
        <v>44</v>
      </c>
    </row>
    <row r="14" spans="1:16" ht="12.75">
      <c r="A14" s="5" t="s">
        <v>45</v>
      </c>
      <c r="B14" s="5" t="s">
        <v>49</v>
      </c>
      <c r="C14" s="8" t="s">
        <v>53</v>
      </c>
      <c r="D14" s="7">
        <v>0.333</v>
      </c>
      <c r="E14" s="24" t="s">
        <v>54</v>
      </c>
      <c r="F14" s="7">
        <v>0.28</v>
      </c>
      <c r="G14" s="8" t="s">
        <v>101</v>
      </c>
      <c r="H14" s="7">
        <v>0.615</v>
      </c>
      <c r="I14" s="10">
        <v>13</v>
      </c>
      <c r="J14" s="10">
        <v>3</v>
      </c>
      <c r="K14" s="28">
        <v>15</v>
      </c>
      <c r="L14" s="8">
        <v>11</v>
      </c>
      <c r="M14" s="20" t="s">
        <v>55</v>
      </c>
      <c r="N14" s="28">
        <v>4</v>
      </c>
      <c r="O14" s="8">
        <v>20</v>
      </c>
      <c r="P14" s="10">
        <v>21</v>
      </c>
    </row>
    <row r="15" spans="1:16" ht="12.75">
      <c r="A15" s="5" t="s">
        <v>46</v>
      </c>
      <c r="B15" s="5" t="s">
        <v>50</v>
      </c>
      <c r="C15" s="8" t="s">
        <v>56</v>
      </c>
      <c r="D15" s="7">
        <v>0.444</v>
      </c>
      <c r="E15" s="8" t="s">
        <v>57</v>
      </c>
      <c r="F15" s="7">
        <v>0.318</v>
      </c>
      <c r="G15" s="8" t="s">
        <v>100</v>
      </c>
      <c r="H15" s="7">
        <v>0.8</v>
      </c>
      <c r="I15" s="8">
        <v>23</v>
      </c>
      <c r="J15" s="8">
        <v>9</v>
      </c>
      <c r="K15" s="28">
        <v>12</v>
      </c>
      <c r="L15" s="8">
        <v>10</v>
      </c>
      <c r="M15" s="20" t="s">
        <v>58</v>
      </c>
      <c r="N15" s="30">
        <v>3</v>
      </c>
      <c r="O15" s="8">
        <v>18</v>
      </c>
      <c r="P15" s="8">
        <v>64</v>
      </c>
    </row>
    <row r="16" spans="1:16" ht="12.75">
      <c r="A16" s="5" t="s">
        <v>47</v>
      </c>
      <c r="B16" s="5" t="s">
        <v>51</v>
      </c>
      <c r="C16" s="8" t="s">
        <v>59</v>
      </c>
      <c r="D16" s="7">
        <v>0.565</v>
      </c>
      <c r="E16" s="8" t="s">
        <v>60</v>
      </c>
      <c r="F16" s="7">
        <v>0.278</v>
      </c>
      <c r="G16" s="8" t="s">
        <v>99</v>
      </c>
      <c r="H16" s="7">
        <v>0.526</v>
      </c>
      <c r="I16" s="8">
        <v>25</v>
      </c>
      <c r="J16" s="12">
        <v>7</v>
      </c>
      <c r="K16" s="28">
        <v>12</v>
      </c>
      <c r="L16" s="8">
        <v>14</v>
      </c>
      <c r="M16" s="20" t="s">
        <v>61</v>
      </c>
      <c r="N16" s="28">
        <v>7</v>
      </c>
      <c r="O16" s="8">
        <v>21</v>
      </c>
      <c r="P16" s="8">
        <v>76</v>
      </c>
    </row>
    <row r="17" spans="1:16" ht="12.75">
      <c r="A17" s="5" t="s">
        <v>48</v>
      </c>
      <c r="B17" s="12" t="s">
        <v>52</v>
      </c>
      <c r="C17" s="8" t="s">
        <v>62</v>
      </c>
      <c r="D17" s="7">
        <v>0.388</v>
      </c>
      <c r="E17" s="8" t="s">
        <v>63</v>
      </c>
      <c r="F17" s="7">
        <v>0.24</v>
      </c>
      <c r="G17" s="8" t="s">
        <v>98</v>
      </c>
      <c r="H17" s="7">
        <v>0.727</v>
      </c>
      <c r="I17" s="8">
        <v>20</v>
      </c>
      <c r="J17" s="9">
        <v>16</v>
      </c>
      <c r="K17" s="28">
        <v>17</v>
      </c>
      <c r="L17" s="8">
        <v>15</v>
      </c>
      <c r="M17" s="20" t="s">
        <v>64</v>
      </c>
      <c r="N17" s="28">
        <v>6</v>
      </c>
      <c r="O17" s="12">
        <v>19</v>
      </c>
      <c r="P17" s="12">
        <v>67</v>
      </c>
    </row>
    <row r="18" spans="1:16" ht="12.75">
      <c r="A18" s="5" t="s">
        <v>84</v>
      </c>
      <c r="B18" s="12" t="s">
        <v>81</v>
      </c>
      <c r="C18" s="12" t="s">
        <v>95</v>
      </c>
      <c r="D18" s="7">
        <v>0.548</v>
      </c>
      <c r="E18" s="12" t="s">
        <v>96</v>
      </c>
      <c r="F18" s="7">
        <v>0.182</v>
      </c>
      <c r="G18" s="12" t="s">
        <v>97</v>
      </c>
      <c r="H18" s="7">
        <v>0.645</v>
      </c>
      <c r="I18" s="12">
        <v>23</v>
      </c>
      <c r="J18" s="12">
        <v>6</v>
      </c>
      <c r="K18" s="31">
        <v>14</v>
      </c>
      <c r="L18" s="12">
        <v>15</v>
      </c>
      <c r="M18" s="37" t="s">
        <v>61</v>
      </c>
      <c r="N18" s="31">
        <v>6</v>
      </c>
      <c r="O18" s="12">
        <v>20</v>
      </c>
      <c r="P18" s="8">
        <v>66</v>
      </c>
    </row>
    <row r="19" spans="1:16" ht="12.75">
      <c r="A19" s="5" t="s">
        <v>85</v>
      </c>
      <c r="B19" s="12" t="s">
        <v>82</v>
      </c>
      <c r="C19" s="12" t="s">
        <v>91</v>
      </c>
      <c r="D19" s="7">
        <v>0.489</v>
      </c>
      <c r="E19" s="12" t="s">
        <v>92</v>
      </c>
      <c r="F19" s="7">
        <v>0.182</v>
      </c>
      <c r="G19" s="12" t="s">
        <v>93</v>
      </c>
      <c r="H19" s="7">
        <v>0.8</v>
      </c>
      <c r="I19" s="12">
        <v>22</v>
      </c>
      <c r="J19" s="12">
        <v>7</v>
      </c>
      <c r="K19" s="31">
        <v>13</v>
      </c>
      <c r="L19" s="12">
        <v>13</v>
      </c>
      <c r="M19" s="37" t="s">
        <v>94</v>
      </c>
      <c r="N19" s="31">
        <v>6</v>
      </c>
      <c r="O19" s="12">
        <v>13</v>
      </c>
      <c r="P19" s="8">
        <v>66</v>
      </c>
    </row>
    <row r="20" spans="1:16" ht="12.75">
      <c r="A20" s="5" t="s">
        <v>86</v>
      </c>
      <c r="B20" s="12" t="s">
        <v>83</v>
      </c>
      <c r="C20" s="12" t="s">
        <v>87</v>
      </c>
      <c r="D20" s="7">
        <v>0.425</v>
      </c>
      <c r="E20" s="12" t="s">
        <v>88</v>
      </c>
      <c r="F20" s="7">
        <v>0.2</v>
      </c>
      <c r="G20" s="12" t="s">
        <v>89</v>
      </c>
      <c r="H20" s="7">
        <v>0.684</v>
      </c>
      <c r="I20" s="12">
        <v>20</v>
      </c>
      <c r="J20" s="12">
        <v>11</v>
      </c>
      <c r="K20" s="31">
        <v>15</v>
      </c>
      <c r="L20" s="12">
        <v>21</v>
      </c>
      <c r="M20" s="37" t="s">
        <v>90</v>
      </c>
      <c r="N20" s="42">
        <v>3</v>
      </c>
      <c r="O20" s="12">
        <v>23</v>
      </c>
      <c r="P20" s="8">
        <v>52</v>
      </c>
    </row>
    <row r="21" spans="1:16" ht="12.75">
      <c r="A21" s="5" t="s">
        <v>106</v>
      </c>
      <c r="B21" s="12" t="s">
        <v>108</v>
      </c>
      <c r="C21" s="12"/>
      <c r="D21" s="7"/>
      <c r="E21" s="12"/>
      <c r="F21" s="7"/>
      <c r="G21" s="12"/>
      <c r="H21" s="7"/>
      <c r="I21" s="12"/>
      <c r="J21" s="12"/>
      <c r="K21" s="31"/>
      <c r="L21" s="12"/>
      <c r="M21" s="37"/>
      <c r="N21" s="31"/>
      <c r="O21" s="13"/>
      <c r="P21" s="8"/>
    </row>
    <row r="22" spans="1:16" ht="12.75">
      <c r="A22" s="5" t="s">
        <v>107</v>
      </c>
      <c r="B22" s="12" t="s">
        <v>109</v>
      </c>
      <c r="C22" s="12" t="s">
        <v>110</v>
      </c>
      <c r="D22" s="7">
        <v>0.583</v>
      </c>
      <c r="E22" s="8" t="s">
        <v>60</v>
      </c>
      <c r="F22" s="7">
        <v>0.278</v>
      </c>
      <c r="G22" s="8" t="s">
        <v>111</v>
      </c>
      <c r="H22" s="7">
        <v>0.619</v>
      </c>
      <c r="I22" s="8">
        <v>22</v>
      </c>
      <c r="J22" s="8">
        <v>5</v>
      </c>
      <c r="K22" s="28">
        <v>8</v>
      </c>
      <c r="L22" s="8">
        <v>13</v>
      </c>
      <c r="M22" s="43" t="s">
        <v>112</v>
      </c>
      <c r="N22" s="28">
        <v>9</v>
      </c>
      <c r="O22" s="14">
        <v>22</v>
      </c>
      <c r="P22" s="8">
        <v>79</v>
      </c>
    </row>
    <row r="23" spans="1:16" ht="12.75">
      <c r="A23" s="5" t="s">
        <v>114</v>
      </c>
      <c r="B23" s="5" t="s">
        <v>49</v>
      </c>
      <c r="C23" s="12" t="s">
        <v>117</v>
      </c>
      <c r="D23" s="7">
        <f>14/31</f>
        <v>0.45161290322580644</v>
      </c>
      <c r="E23" s="8" t="s">
        <v>118</v>
      </c>
      <c r="F23" s="7">
        <f>5/22</f>
        <v>0.22727272727272727</v>
      </c>
      <c r="G23" s="8" t="s">
        <v>119</v>
      </c>
      <c r="H23" s="7">
        <f>16/22</f>
        <v>0.7272727272727273</v>
      </c>
      <c r="I23" s="8">
        <v>27</v>
      </c>
      <c r="J23" s="8">
        <v>11</v>
      </c>
      <c r="K23" s="28">
        <v>17</v>
      </c>
      <c r="L23" s="8">
        <v>14</v>
      </c>
      <c r="M23" s="20" t="s">
        <v>120</v>
      </c>
      <c r="N23" s="28">
        <v>5</v>
      </c>
      <c r="O23" s="8">
        <v>23</v>
      </c>
      <c r="P23" s="8">
        <v>56</v>
      </c>
    </row>
    <row r="24" spans="1:16" ht="12.75">
      <c r="A24" s="5" t="s">
        <v>115</v>
      </c>
      <c r="B24" s="5" t="s">
        <v>50</v>
      </c>
      <c r="C24" s="12" t="s">
        <v>56</v>
      </c>
      <c r="D24" s="7">
        <f>16/36</f>
        <v>0.4444444444444444</v>
      </c>
      <c r="E24" s="8" t="s">
        <v>121</v>
      </c>
      <c r="F24" s="7">
        <f>7/19</f>
        <v>0.3684210526315789</v>
      </c>
      <c r="G24" s="8" t="s">
        <v>122</v>
      </c>
      <c r="H24" s="7">
        <f>16/28</f>
        <v>0.5714285714285714</v>
      </c>
      <c r="I24" s="8">
        <v>27</v>
      </c>
      <c r="J24" s="8">
        <v>10</v>
      </c>
      <c r="K24" s="29">
        <v>7</v>
      </c>
      <c r="L24" s="8">
        <v>14</v>
      </c>
      <c r="M24" s="20" t="s">
        <v>120</v>
      </c>
      <c r="N24" s="28">
        <v>6</v>
      </c>
      <c r="O24" s="8">
        <v>16</v>
      </c>
      <c r="P24" s="8">
        <v>83</v>
      </c>
    </row>
    <row r="25" spans="1:16" ht="12.75">
      <c r="A25" s="5" t="s">
        <v>116</v>
      </c>
      <c r="B25" s="5" t="s">
        <v>51</v>
      </c>
      <c r="C25" s="12" t="s">
        <v>110</v>
      </c>
      <c r="D25" s="7">
        <f>21/36</f>
        <v>0.5833333333333334</v>
      </c>
      <c r="E25" s="8" t="s">
        <v>123</v>
      </c>
      <c r="F25" s="7">
        <f>7/17</f>
        <v>0.4117647058823529</v>
      </c>
      <c r="G25" s="8" t="s">
        <v>124</v>
      </c>
      <c r="H25" s="7">
        <f>22/29</f>
        <v>0.7586206896551724</v>
      </c>
      <c r="I25" s="8">
        <v>20</v>
      </c>
      <c r="J25" s="8">
        <v>10</v>
      </c>
      <c r="K25" s="28">
        <v>17</v>
      </c>
      <c r="L25" s="8">
        <v>14</v>
      </c>
      <c r="M25" s="20" t="s">
        <v>125</v>
      </c>
      <c r="N25" s="28">
        <v>6</v>
      </c>
      <c r="O25" s="14">
        <v>22</v>
      </c>
      <c r="P25" s="8">
        <v>86</v>
      </c>
    </row>
    <row r="26" spans="1:16" ht="12.75">
      <c r="A26" s="5" t="s">
        <v>130</v>
      </c>
      <c r="B26" s="12" t="s">
        <v>52</v>
      </c>
      <c r="C26" s="12" t="s">
        <v>133</v>
      </c>
      <c r="D26" s="7">
        <v>0.437</v>
      </c>
      <c r="E26" s="8" t="s">
        <v>134</v>
      </c>
      <c r="F26" s="7">
        <v>0.437</v>
      </c>
      <c r="G26" s="8" t="s">
        <v>135</v>
      </c>
      <c r="H26" s="7">
        <v>0.765</v>
      </c>
      <c r="I26" s="8">
        <v>23</v>
      </c>
      <c r="J26" s="8">
        <v>12</v>
      </c>
      <c r="K26" s="28">
        <v>13</v>
      </c>
      <c r="L26" s="8">
        <v>23</v>
      </c>
      <c r="M26" s="20" t="s">
        <v>136</v>
      </c>
      <c r="N26" s="28">
        <v>7</v>
      </c>
      <c r="O26" s="9">
        <v>11</v>
      </c>
      <c r="P26" s="8">
        <v>108</v>
      </c>
    </row>
    <row r="27" spans="1:16" ht="12.75">
      <c r="A27" s="5" t="s">
        <v>131</v>
      </c>
      <c r="B27" s="12" t="s">
        <v>81</v>
      </c>
      <c r="C27" s="8" t="s">
        <v>137</v>
      </c>
      <c r="D27" s="7">
        <v>0.513</v>
      </c>
      <c r="E27" s="8" t="s">
        <v>138</v>
      </c>
      <c r="F27" s="7">
        <v>0.286</v>
      </c>
      <c r="G27" s="8" t="s">
        <v>139</v>
      </c>
      <c r="H27" s="7">
        <v>0.608</v>
      </c>
      <c r="I27" s="8">
        <v>25</v>
      </c>
      <c r="J27" s="8">
        <v>7</v>
      </c>
      <c r="K27" s="28">
        <v>14</v>
      </c>
      <c r="L27" s="8">
        <v>19</v>
      </c>
      <c r="M27" s="20" t="s">
        <v>140</v>
      </c>
      <c r="N27" s="28">
        <v>5</v>
      </c>
      <c r="O27" s="8">
        <v>17</v>
      </c>
      <c r="P27" s="8">
        <v>89</v>
      </c>
    </row>
    <row r="28" spans="1:16" ht="12.75">
      <c r="A28" s="5" t="s">
        <v>132</v>
      </c>
      <c r="B28" s="12" t="s">
        <v>82</v>
      </c>
      <c r="C28" s="12" t="s">
        <v>141</v>
      </c>
      <c r="D28" s="7">
        <v>0.611</v>
      </c>
      <c r="E28" s="8" t="s">
        <v>142</v>
      </c>
      <c r="F28" s="11">
        <v>0.5</v>
      </c>
      <c r="G28" s="8" t="s">
        <v>143</v>
      </c>
      <c r="H28" s="7">
        <v>0.571</v>
      </c>
      <c r="I28" s="8">
        <v>20</v>
      </c>
      <c r="J28" s="8">
        <v>8</v>
      </c>
      <c r="K28" s="30">
        <v>23</v>
      </c>
      <c r="L28" s="9">
        <v>26</v>
      </c>
      <c r="M28" s="20" t="s">
        <v>94</v>
      </c>
      <c r="N28" s="28">
        <v>5</v>
      </c>
      <c r="O28" s="8">
        <v>16</v>
      </c>
      <c r="P28" s="8">
        <v>78</v>
      </c>
    </row>
    <row r="29" spans="1:16" ht="12.75">
      <c r="A29" s="5" t="s">
        <v>144</v>
      </c>
      <c r="B29" s="12" t="s">
        <v>83</v>
      </c>
      <c r="C29" s="12" t="s">
        <v>145</v>
      </c>
      <c r="D29" s="7">
        <v>0.439</v>
      </c>
      <c r="E29" s="8" t="s">
        <v>146</v>
      </c>
      <c r="F29" s="7">
        <v>0.273</v>
      </c>
      <c r="G29" s="8" t="s">
        <v>147</v>
      </c>
      <c r="H29" s="7">
        <v>0.455</v>
      </c>
      <c r="I29" s="8">
        <v>17</v>
      </c>
      <c r="J29" s="8">
        <v>6</v>
      </c>
      <c r="K29" s="28">
        <v>12</v>
      </c>
      <c r="L29" s="8">
        <v>22</v>
      </c>
      <c r="M29" s="20" t="s">
        <v>90</v>
      </c>
      <c r="N29" s="28">
        <v>8</v>
      </c>
      <c r="O29" s="8">
        <v>26</v>
      </c>
      <c r="P29" s="8">
        <v>52</v>
      </c>
    </row>
    <row r="30" spans="1:16" ht="12.75">
      <c r="A30" s="5" t="s">
        <v>153</v>
      </c>
      <c r="B30" s="12" t="s">
        <v>108</v>
      </c>
      <c r="C30" s="8" t="s">
        <v>154</v>
      </c>
      <c r="D30" s="7">
        <v>0.456</v>
      </c>
      <c r="E30" s="8" t="s">
        <v>155</v>
      </c>
      <c r="F30" s="15">
        <v>0.125</v>
      </c>
      <c r="G30" s="8" t="s">
        <v>156</v>
      </c>
      <c r="H30" s="7">
        <v>0.545</v>
      </c>
      <c r="I30" s="8">
        <v>19</v>
      </c>
      <c r="J30" s="10">
        <v>3</v>
      </c>
      <c r="K30" s="28">
        <v>10</v>
      </c>
      <c r="L30" s="8">
        <v>16</v>
      </c>
      <c r="M30" s="36" t="s">
        <v>157</v>
      </c>
      <c r="N30" s="28">
        <v>5</v>
      </c>
      <c r="O30" s="56">
        <v>27</v>
      </c>
      <c r="P30" s="8">
        <v>39</v>
      </c>
    </row>
    <row r="31" spans="1:16" ht="12.75">
      <c r="A31" s="5" t="s">
        <v>158</v>
      </c>
      <c r="B31" s="12" t="s">
        <v>109</v>
      </c>
      <c r="C31" s="8" t="s">
        <v>159</v>
      </c>
      <c r="D31" s="7">
        <v>0.461</v>
      </c>
      <c r="E31" s="8" t="s">
        <v>152</v>
      </c>
      <c r="F31" s="7">
        <v>0.381</v>
      </c>
      <c r="G31" s="8" t="s">
        <v>160</v>
      </c>
      <c r="H31" s="7">
        <v>0.5</v>
      </c>
      <c r="I31" s="8">
        <v>17</v>
      </c>
      <c r="J31" s="10">
        <v>3</v>
      </c>
      <c r="K31" s="28">
        <v>14</v>
      </c>
      <c r="L31" s="8">
        <v>12</v>
      </c>
      <c r="M31" s="20" t="s">
        <v>61</v>
      </c>
      <c r="N31" s="28">
        <v>5</v>
      </c>
      <c r="O31" s="8">
        <v>21</v>
      </c>
      <c r="P31" s="8">
        <v>42</v>
      </c>
    </row>
    <row r="32" spans="1:16" ht="12.75">
      <c r="A32" s="12"/>
      <c r="B32" s="12"/>
      <c r="C32" s="12"/>
      <c r="D32" s="22"/>
      <c r="E32" s="12"/>
      <c r="F32" s="22"/>
      <c r="G32" s="12"/>
      <c r="H32" s="22"/>
      <c r="I32" s="12"/>
      <c r="J32" s="12"/>
      <c r="K32" s="31"/>
      <c r="L32" s="12"/>
      <c r="M32" s="37"/>
      <c r="N32" s="31"/>
      <c r="O32" s="12"/>
      <c r="P32" s="21"/>
    </row>
    <row r="33" spans="1:16" ht="12.75">
      <c r="A33" s="12" t="s">
        <v>165</v>
      </c>
      <c r="B33" s="12" t="s">
        <v>162</v>
      </c>
      <c r="C33" s="12" t="s">
        <v>167</v>
      </c>
      <c r="D33" s="22">
        <f>23/44</f>
        <v>0.5227272727272727</v>
      </c>
      <c r="E33" s="12" t="s">
        <v>168</v>
      </c>
      <c r="F33" s="22">
        <f>4/12</f>
        <v>0.3333333333333333</v>
      </c>
      <c r="G33" s="12" t="s">
        <v>169</v>
      </c>
      <c r="H33" s="22">
        <f>18/26</f>
        <v>0.6923076923076923</v>
      </c>
      <c r="I33" s="12">
        <v>17</v>
      </c>
      <c r="J33" s="12">
        <v>11</v>
      </c>
      <c r="K33" s="31">
        <v>10</v>
      </c>
      <c r="L33" s="12">
        <v>17</v>
      </c>
      <c r="M33" s="37" t="s">
        <v>170</v>
      </c>
      <c r="N33" s="31">
        <v>8</v>
      </c>
      <c r="O33" s="12">
        <v>15</v>
      </c>
      <c r="P33" s="8">
        <v>87</v>
      </c>
    </row>
    <row r="34" spans="1:16" ht="12.75">
      <c r="A34" s="12" t="s">
        <v>166</v>
      </c>
      <c r="B34" s="12" t="s">
        <v>163</v>
      </c>
      <c r="C34" s="12" t="s">
        <v>172</v>
      </c>
      <c r="D34" s="22">
        <f>16/37</f>
        <v>0.43243243243243246</v>
      </c>
      <c r="E34" s="12" t="s">
        <v>173</v>
      </c>
      <c r="F34" s="22">
        <f>7/21</f>
        <v>0.3333333333333333</v>
      </c>
      <c r="G34" s="12" t="s">
        <v>171</v>
      </c>
      <c r="H34" s="22">
        <f>11/17</f>
        <v>0.6470588235294118</v>
      </c>
      <c r="I34" s="12">
        <v>22</v>
      </c>
      <c r="J34" s="12">
        <v>7</v>
      </c>
      <c r="K34" s="31">
        <v>10</v>
      </c>
      <c r="L34" s="12">
        <v>13</v>
      </c>
      <c r="M34" s="37" t="s">
        <v>90</v>
      </c>
      <c r="N34" s="57">
        <v>9</v>
      </c>
      <c r="O34" s="12">
        <v>25</v>
      </c>
      <c r="P34" s="8">
        <v>58</v>
      </c>
    </row>
    <row r="35" spans="1:16" ht="12.75">
      <c r="A35" s="12" t="s">
        <v>174</v>
      </c>
      <c r="B35" s="12" t="s">
        <v>164</v>
      </c>
      <c r="C35" s="12" t="s">
        <v>176</v>
      </c>
      <c r="D35" s="22">
        <v>0.538</v>
      </c>
      <c r="E35" s="12" t="s">
        <v>177</v>
      </c>
      <c r="F35" s="22">
        <v>0.45</v>
      </c>
      <c r="G35" s="12" t="s">
        <v>175</v>
      </c>
      <c r="H35" s="22">
        <v>0.658</v>
      </c>
      <c r="I35" s="12">
        <v>19</v>
      </c>
      <c r="J35" s="12">
        <v>6</v>
      </c>
      <c r="K35" s="31">
        <v>16</v>
      </c>
      <c r="L35" s="12">
        <v>12</v>
      </c>
      <c r="M35" s="37" t="s">
        <v>178</v>
      </c>
      <c r="N35" s="31">
        <v>5</v>
      </c>
      <c r="O35" s="12">
        <v>23</v>
      </c>
      <c r="P35" s="8">
        <v>76</v>
      </c>
    </row>
    <row r="36" spans="1:16" ht="12.75">
      <c r="A36" s="12" t="s">
        <v>190</v>
      </c>
      <c r="B36" s="12" t="s">
        <v>162</v>
      </c>
      <c r="C36" s="12" t="s">
        <v>192</v>
      </c>
      <c r="D36" s="59">
        <v>0.651</v>
      </c>
      <c r="E36" s="12" t="s">
        <v>193</v>
      </c>
      <c r="F36" s="22">
        <v>0.294</v>
      </c>
      <c r="G36" s="12" t="s">
        <v>191</v>
      </c>
      <c r="H36" s="60">
        <v>0.87</v>
      </c>
      <c r="I36" s="61">
        <v>38</v>
      </c>
      <c r="J36" s="62">
        <v>3</v>
      </c>
      <c r="K36" s="31">
        <v>10</v>
      </c>
      <c r="L36" s="12">
        <v>14</v>
      </c>
      <c r="M36" s="37" t="s">
        <v>125</v>
      </c>
      <c r="N36" s="57">
        <v>17</v>
      </c>
      <c r="O36" s="12">
        <v>13</v>
      </c>
      <c r="P36" s="9">
        <v>130</v>
      </c>
    </row>
    <row r="37" spans="1:16" ht="12.75">
      <c r="A37" s="12" t="s">
        <v>197</v>
      </c>
      <c r="B37" s="12" t="s">
        <v>163</v>
      </c>
      <c r="C37" s="12"/>
      <c r="D37" s="22"/>
      <c r="E37" s="12"/>
      <c r="F37" s="22"/>
      <c r="G37" s="12"/>
      <c r="H37" s="22"/>
      <c r="I37" s="12"/>
      <c r="J37" s="12"/>
      <c r="K37" s="31"/>
      <c r="L37" s="12"/>
      <c r="M37" s="37"/>
      <c r="N37" s="31"/>
      <c r="O37" s="12"/>
      <c r="P37" s="21"/>
    </row>
    <row r="38" spans="1:16" ht="12.75">
      <c r="A38" s="5" t="s">
        <v>189</v>
      </c>
      <c r="B38" s="12" t="s">
        <v>164</v>
      </c>
      <c r="C38" s="5" t="s">
        <v>186</v>
      </c>
      <c r="D38" s="58">
        <v>0.233</v>
      </c>
      <c r="E38" s="5" t="s">
        <v>185</v>
      </c>
      <c r="F38" s="6">
        <v>0.278</v>
      </c>
      <c r="G38" s="5" t="s">
        <v>187</v>
      </c>
      <c r="H38" s="6">
        <v>0.783</v>
      </c>
      <c r="I38" s="8">
        <v>34</v>
      </c>
      <c r="J38" s="5">
        <v>5</v>
      </c>
      <c r="K38" s="33">
        <v>17</v>
      </c>
      <c r="L38" s="10">
        <v>8</v>
      </c>
      <c r="M38" s="20" t="s">
        <v>188</v>
      </c>
      <c r="N38" s="30">
        <v>3</v>
      </c>
      <c r="O38" s="5">
        <v>20</v>
      </c>
      <c r="P38" s="8">
        <v>31</v>
      </c>
    </row>
    <row r="39" spans="1:15" ht="12.75">
      <c r="A39" s="5"/>
      <c r="B39" s="12"/>
      <c r="C39" s="5"/>
      <c r="D39" s="6"/>
      <c r="E39" s="5"/>
      <c r="F39" s="6"/>
      <c r="G39" s="5"/>
      <c r="H39" s="6"/>
      <c r="I39" s="5"/>
      <c r="J39" s="5"/>
      <c r="K39" s="33"/>
      <c r="L39" s="5"/>
      <c r="M39" s="20"/>
      <c r="N39" s="33"/>
      <c r="O39" s="5"/>
    </row>
    <row r="40" spans="1:16" ht="12.75">
      <c r="A40" s="5" t="s">
        <v>199</v>
      </c>
      <c r="B40" s="5" t="s">
        <v>198</v>
      </c>
      <c r="C40" s="5" t="s">
        <v>201</v>
      </c>
      <c r="D40" s="6">
        <v>0.607</v>
      </c>
      <c r="E40" s="5" t="s">
        <v>202</v>
      </c>
      <c r="F40" s="6">
        <v>0.364</v>
      </c>
      <c r="G40" s="5" t="s">
        <v>203</v>
      </c>
      <c r="H40" s="6">
        <v>0.7</v>
      </c>
      <c r="I40" s="5">
        <v>17</v>
      </c>
      <c r="J40" s="5">
        <v>13</v>
      </c>
      <c r="K40" s="33">
        <v>13</v>
      </c>
      <c r="L40" s="5">
        <v>12</v>
      </c>
      <c r="M40" s="16" t="s">
        <v>204</v>
      </c>
      <c r="N40" s="33">
        <v>10</v>
      </c>
      <c r="O40" s="79">
        <v>26</v>
      </c>
      <c r="P40" s="5">
        <v>76</v>
      </c>
    </row>
    <row r="41" spans="1:16" ht="12.75">
      <c r="A41" s="5" t="s">
        <v>200</v>
      </c>
      <c r="B41" s="12" t="s">
        <v>198</v>
      </c>
      <c r="C41" s="78" t="s">
        <v>205</v>
      </c>
      <c r="D41" s="6">
        <v>0.37799999999999995</v>
      </c>
      <c r="E41" s="5" t="s">
        <v>206</v>
      </c>
      <c r="F41" s="6">
        <v>0.375</v>
      </c>
      <c r="G41" s="5" t="s">
        <v>207</v>
      </c>
      <c r="H41" s="15">
        <v>0.4</v>
      </c>
      <c r="I41" s="5">
        <v>17</v>
      </c>
      <c r="J41" s="5">
        <v>12</v>
      </c>
      <c r="K41" s="33">
        <v>16</v>
      </c>
      <c r="L41" s="5">
        <v>10</v>
      </c>
      <c r="M41" s="16" t="s">
        <v>208</v>
      </c>
      <c r="N41" s="33">
        <v>7</v>
      </c>
      <c r="O41" s="5">
        <v>13</v>
      </c>
      <c r="P41" s="5">
        <v>52</v>
      </c>
    </row>
    <row r="42" spans="1:16" ht="12.75">
      <c r="A42" s="81" t="s">
        <v>209</v>
      </c>
      <c r="B42" s="3"/>
      <c r="C42" s="84" t="s">
        <v>210</v>
      </c>
      <c r="D42" s="85">
        <v>0.484</v>
      </c>
      <c r="E42" s="86" t="s">
        <v>211</v>
      </c>
      <c r="F42" s="85">
        <v>0.306</v>
      </c>
      <c r="G42" s="86" t="s">
        <v>212</v>
      </c>
      <c r="H42" s="85">
        <v>0.659</v>
      </c>
      <c r="I42" s="81">
        <v>527</v>
      </c>
      <c r="J42" s="81">
        <v>191</v>
      </c>
      <c r="K42" s="82">
        <v>325</v>
      </c>
      <c r="L42" s="81">
        <v>358</v>
      </c>
      <c r="M42" s="83" t="s">
        <v>215</v>
      </c>
      <c r="N42" s="82">
        <v>155</v>
      </c>
      <c r="O42" s="81">
        <v>470</v>
      </c>
      <c r="P42" s="81" t="s">
        <v>220</v>
      </c>
    </row>
    <row r="43" spans="9:15" ht="12.75">
      <c r="I43" s="80" t="s">
        <v>213</v>
      </c>
      <c r="J43" s="80" t="s">
        <v>214</v>
      </c>
      <c r="K43" s="87" t="s">
        <v>216</v>
      </c>
      <c r="L43" s="86" t="s">
        <v>217</v>
      </c>
      <c r="N43" s="87" t="s">
        <v>218</v>
      </c>
      <c r="O43" s="86" t="s">
        <v>219</v>
      </c>
    </row>
    <row r="44" spans="2:3" ht="12.75">
      <c r="B44" t="s">
        <v>16</v>
      </c>
      <c r="C44" s="17"/>
    </row>
    <row r="45" spans="2:7" ht="12.75">
      <c r="B45" t="s">
        <v>17</v>
      </c>
      <c r="C45" s="18"/>
      <c r="G45" s="80" t="s">
        <v>221</v>
      </c>
    </row>
    <row r="46" spans="1:2" ht="12.75">
      <c r="A46" s="5"/>
      <c r="B46" s="19"/>
    </row>
    <row r="47" spans="1:16" ht="12.75">
      <c r="A47" s="4" t="s">
        <v>18</v>
      </c>
      <c r="B47" s="4" t="s">
        <v>19</v>
      </c>
      <c r="C47" s="4" t="s">
        <v>20</v>
      </c>
      <c r="D47" s="4" t="s">
        <v>21</v>
      </c>
      <c r="E47" s="4" t="s">
        <v>22</v>
      </c>
      <c r="F47" s="4" t="s">
        <v>65</v>
      </c>
      <c r="G47" s="4" t="s">
        <v>26</v>
      </c>
      <c r="H47" s="4" t="s">
        <v>66</v>
      </c>
      <c r="I47" s="4" t="s">
        <v>26</v>
      </c>
      <c r="J47" s="4" t="s">
        <v>23</v>
      </c>
      <c r="K47" s="27" t="s">
        <v>24</v>
      </c>
      <c r="L47" s="4" t="s">
        <v>67</v>
      </c>
      <c r="M47" s="35" t="s">
        <v>25</v>
      </c>
      <c r="N47" s="27" t="s">
        <v>68</v>
      </c>
      <c r="O47" s="23" t="s">
        <v>69</v>
      </c>
      <c r="P47" s="23" t="s">
        <v>70</v>
      </c>
    </row>
    <row r="48" spans="1:16" ht="12.75">
      <c r="A48" s="5">
        <v>6</v>
      </c>
      <c r="B48" s="5" t="s">
        <v>28</v>
      </c>
      <c r="C48" s="8">
        <v>23</v>
      </c>
      <c r="D48" s="8">
        <v>113</v>
      </c>
      <c r="E48" s="20">
        <f>113/23</f>
        <v>4.913043478260869</v>
      </c>
      <c r="F48" s="63">
        <v>52</v>
      </c>
      <c r="G48" s="64">
        <f>52/21</f>
        <v>2.4761904761904763</v>
      </c>
      <c r="H48" s="63">
        <v>29</v>
      </c>
      <c r="I48" s="64">
        <f>29/21</f>
        <v>1.380952380952381</v>
      </c>
      <c r="J48" s="63">
        <v>27</v>
      </c>
      <c r="K48" s="65">
        <v>8</v>
      </c>
      <c r="L48" s="63">
        <v>35</v>
      </c>
      <c r="M48" s="64">
        <f>35/21</f>
        <v>1.6666666666666667</v>
      </c>
      <c r="N48" s="65">
        <v>3</v>
      </c>
      <c r="O48" s="63">
        <v>0</v>
      </c>
      <c r="P48" s="63">
        <v>14</v>
      </c>
    </row>
    <row r="49" spans="1:16" ht="12.75">
      <c r="A49" s="5">
        <v>4</v>
      </c>
      <c r="B49" s="5" t="s">
        <v>72</v>
      </c>
      <c r="C49" s="8">
        <v>24</v>
      </c>
      <c r="D49" s="8">
        <v>66</v>
      </c>
      <c r="E49" s="20">
        <f>66/24</f>
        <v>2.75</v>
      </c>
      <c r="F49" s="63">
        <v>55</v>
      </c>
      <c r="G49" s="64">
        <f>55/22</f>
        <v>2.5</v>
      </c>
      <c r="H49" s="63">
        <v>53</v>
      </c>
      <c r="I49" s="64">
        <f>53/22</f>
        <v>2.409090909090909</v>
      </c>
      <c r="J49" s="63">
        <v>23</v>
      </c>
      <c r="K49" s="65">
        <v>9</v>
      </c>
      <c r="L49" s="63">
        <v>32</v>
      </c>
      <c r="M49" s="64">
        <f>32/22</f>
        <v>1.4545454545454546</v>
      </c>
      <c r="N49" s="65">
        <v>0</v>
      </c>
      <c r="O49" s="66">
        <v>1</v>
      </c>
      <c r="P49" s="63">
        <v>13</v>
      </c>
    </row>
    <row r="50" spans="1:16" ht="12.75">
      <c r="A50" s="5">
        <v>13</v>
      </c>
      <c r="B50" s="5" t="s">
        <v>27</v>
      </c>
      <c r="C50" s="8">
        <v>1</v>
      </c>
      <c r="D50" s="8">
        <v>0</v>
      </c>
      <c r="E50" s="20">
        <v>0</v>
      </c>
      <c r="F50" s="8">
        <v>0</v>
      </c>
      <c r="G50" s="20">
        <v>0</v>
      </c>
      <c r="H50" s="8">
        <v>0</v>
      </c>
      <c r="I50" s="20">
        <v>0</v>
      </c>
      <c r="J50" s="8">
        <v>0</v>
      </c>
      <c r="K50" s="28">
        <v>0</v>
      </c>
      <c r="L50" s="8">
        <v>0</v>
      </c>
      <c r="M50" s="20">
        <v>0</v>
      </c>
      <c r="N50" s="28">
        <v>0</v>
      </c>
      <c r="O50" s="12">
        <v>0</v>
      </c>
      <c r="P50" s="5">
        <v>0</v>
      </c>
    </row>
    <row r="51" spans="1:16" ht="12.75">
      <c r="A51" s="5">
        <v>10</v>
      </c>
      <c r="B51" s="5" t="s">
        <v>31</v>
      </c>
      <c r="C51" s="8">
        <v>24</v>
      </c>
      <c r="D51" s="8">
        <v>181</v>
      </c>
      <c r="E51" s="20">
        <f>181/24</f>
        <v>7.541666666666667</v>
      </c>
      <c r="F51" s="66">
        <v>35</v>
      </c>
      <c r="G51" s="64">
        <f>35/22</f>
        <v>1.5909090909090908</v>
      </c>
      <c r="H51" s="66">
        <v>15</v>
      </c>
      <c r="I51" s="64">
        <f>15/22</f>
        <v>0.6818181818181818</v>
      </c>
      <c r="J51" s="63">
        <v>19</v>
      </c>
      <c r="K51" s="65">
        <v>6</v>
      </c>
      <c r="L51" s="63">
        <v>25</v>
      </c>
      <c r="M51" s="64">
        <f>25/22</f>
        <v>1.1363636363636365</v>
      </c>
      <c r="N51" s="65">
        <v>2</v>
      </c>
      <c r="O51" s="63">
        <v>2</v>
      </c>
      <c r="P51" s="63">
        <v>9</v>
      </c>
    </row>
    <row r="52" spans="1:16" ht="12.75">
      <c r="A52" s="5" t="s">
        <v>148</v>
      </c>
      <c r="B52" s="5" t="s">
        <v>32</v>
      </c>
      <c r="C52" s="8">
        <v>4</v>
      </c>
      <c r="D52" s="8">
        <v>8</v>
      </c>
      <c r="E52" s="20">
        <f>8/4</f>
        <v>2</v>
      </c>
      <c r="F52" s="12">
        <v>7</v>
      </c>
      <c r="G52" s="20">
        <f>7/4</f>
        <v>1.75</v>
      </c>
      <c r="H52" s="12">
        <v>5</v>
      </c>
      <c r="I52" s="20">
        <f>5/4</f>
        <v>1.25</v>
      </c>
      <c r="J52" s="8">
        <v>4</v>
      </c>
      <c r="K52" s="28">
        <v>1</v>
      </c>
      <c r="L52" s="8">
        <v>5</v>
      </c>
      <c r="M52" s="20">
        <f>5/4</f>
        <v>1.25</v>
      </c>
      <c r="N52" s="28">
        <v>0</v>
      </c>
      <c r="O52" s="12">
        <v>0</v>
      </c>
      <c r="P52" s="5">
        <v>2</v>
      </c>
    </row>
    <row r="53" spans="1:16" ht="12.75">
      <c r="A53" s="5">
        <v>14</v>
      </c>
      <c r="B53" s="5" t="s">
        <v>113</v>
      </c>
      <c r="C53" s="8">
        <v>15</v>
      </c>
      <c r="D53" s="8">
        <v>128</v>
      </c>
      <c r="E53" s="20">
        <f>128/15</f>
        <v>8.533333333333333</v>
      </c>
      <c r="F53" s="66">
        <v>25</v>
      </c>
      <c r="G53" s="64">
        <f>25/13</f>
        <v>1.9230769230769231</v>
      </c>
      <c r="H53" s="66">
        <v>27</v>
      </c>
      <c r="I53" s="64">
        <f>27/13</f>
        <v>2.076923076923077</v>
      </c>
      <c r="J53" s="63">
        <v>19</v>
      </c>
      <c r="K53" s="65">
        <v>1</v>
      </c>
      <c r="L53" s="63">
        <v>20</v>
      </c>
      <c r="M53" s="64">
        <f>20/13</f>
        <v>1.5384615384615385</v>
      </c>
      <c r="N53" s="65">
        <v>0</v>
      </c>
      <c r="O53" s="66">
        <v>2</v>
      </c>
      <c r="P53" s="63">
        <v>20</v>
      </c>
    </row>
    <row r="54" spans="1:16" ht="12.75">
      <c r="A54" s="5">
        <v>18</v>
      </c>
      <c r="B54" s="5" t="s">
        <v>73</v>
      </c>
      <c r="C54" s="8">
        <v>25</v>
      </c>
      <c r="D54" s="8">
        <v>203</v>
      </c>
      <c r="E54" s="20">
        <f>203/25</f>
        <v>8.12</v>
      </c>
      <c r="F54" s="47">
        <v>32</v>
      </c>
      <c r="G54" s="45">
        <f>32/24</f>
        <v>1.3333333333333333</v>
      </c>
      <c r="H54" s="47">
        <v>76</v>
      </c>
      <c r="I54" s="45">
        <f>76/24</f>
        <v>3.1666666666666665</v>
      </c>
      <c r="J54" s="44">
        <v>85</v>
      </c>
      <c r="K54" s="46">
        <v>29</v>
      </c>
      <c r="L54" s="44">
        <v>114</v>
      </c>
      <c r="M54" s="45">
        <f>114/24</f>
        <v>4.75</v>
      </c>
      <c r="N54" s="46">
        <v>4</v>
      </c>
      <c r="O54" s="44">
        <v>4</v>
      </c>
      <c r="P54" s="44">
        <v>22</v>
      </c>
    </row>
    <row r="55" spans="1:16" ht="12.75">
      <c r="A55" s="5">
        <v>5</v>
      </c>
      <c r="B55" s="5" t="s">
        <v>74</v>
      </c>
      <c r="C55" s="8">
        <v>7</v>
      </c>
      <c r="D55" s="8">
        <v>65</v>
      </c>
      <c r="E55" s="20">
        <f>65/7</f>
        <v>9.285714285714286</v>
      </c>
      <c r="F55" s="12">
        <v>18</v>
      </c>
      <c r="G55" s="20">
        <f>18/7</f>
        <v>2.5714285714285716</v>
      </c>
      <c r="H55" s="12">
        <v>26</v>
      </c>
      <c r="I55" s="20">
        <f>26/7</f>
        <v>3.7142857142857144</v>
      </c>
      <c r="J55" s="8">
        <v>16</v>
      </c>
      <c r="K55" s="28">
        <v>9</v>
      </c>
      <c r="L55" s="8">
        <v>25</v>
      </c>
      <c r="M55" s="20">
        <f>25/7</f>
        <v>3.5714285714285716</v>
      </c>
      <c r="N55" s="28">
        <v>1</v>
      </c>
      <c r="O55" s="12">
        <v>2</v>
      </c>
      <c r="P55" s="5">
        <v>3</v>
      </c>
    </row>
    <row r="56" spans="1:16" ht="12.75">
      <c r="A56" s="5">
        <v>8</v>
      </c>
      <c r="B56" s="5" t="s">
        <v>29</v>
      </c>
      <c r="C56" s="8">
        <v>22</v>
      </c>
      <c r="D56" s="8">
        <v>91</v>
      </c>
      <c r="E56" s="20">
        <f>91/22</f>
        <v>4.136363636363637</v>
      </c>
      <c r="F56" s="47">
        <v>33</v>
      </c>
      <c r="G56" s="45">
        <f>33/21</f>
        <v>1.5714285714285714</v>
      </c>
      <c r="H56" s="47">
        <v>15</v>
      </c>
      <c r="I56" s="45">
        <f>15/21</f>
        <v>0.7142857142857143</v>
      </c>
      <c r="J56" s="44">
        <v>18</v>
      </c>
      <c r="K56" s="46">
        <v>12</v>
      </c>
      <c r="L56" s="44">
        <v>30</v>
      </c>
      <c r="M56" s="45">
        <f>30/21</f>
        <v>1.4285714285714286</v>
      </c>
      <c r="N56" s="46">
        <v>2</v>
      </c>
      <c r="O56" s="44">
        <v>5</v>
      </c>
      <c r="P56" s="44">
        <v>7</v>
      </c>
    </row>
    <row r="57" spans="1:16" ht="12.75">
      <c r="A57" s="5">
        <v>12</v>
      </c>
      <c r="B57" s="5" t="s">
        <v>30</v>
      </c>
      <c r="C57" s="8">
        <v>3</v>
      </c>
      <c r="D57" s="8">
        <v>16</v>
      </c>
      <c r="E57" s="20">
        <f>16/3</f>
        <v>5.333333333333333</v>
      </c>
      <c r="F57" s="12">
        <v>6</v>
      </c>
      <c r="G57" s="20">
        <f>6/3</f>
        <v>2</v>
      </c>
      <c r="H57" s="12">
        <v>6</v>
      </c>
      <c r="I57" s="20">
        <f>6/3</f>
        <v>2</v>
      </c>
      <c r="J57" s="8">
        <v>1</v>
      </c>
      <c r="K57" s="28">
        <v>1</v>
      </c>
      <c r="L57" s="8">
        <v>2</v>
      </c>
      <c r="M57" s="20">
        <f>2/3</f>
        <v>0.6666666666666666</v>
      </c>
      <c r="N57" s="28">
        <v>1</v>
      </c>
      <c r="O57" s="12">
        <v>1</v>
      </c>
      <c r="P57" s="5">
        <v>1</v>
      </c>
    </row>
    <row r="58" spans="1:16" ht="12.75">
      <c r="A58" s="5">
        <v>20</v>
      </c>
      <c r="B58" s="5" t="s">
        <v>37</v>
      </c>
      <c r="C58" s="8">
        <v>19</v>
      </c>
      <c r="D58" s="8">
        <v>122</v>
      </c>
      <c r="E58" s="20">
        <f>122/19</f>
        <v>6.421052631578948</v>
      </c>
      <c r="F58" s="66">
        <v>34</v>
      </c>
      <c r="G58" s="64">
        <f>34/17</f>
        <v>2</v>
      </c>
      <c r="H58" s="66">
        <v>28</v>
      </c>
      <c r="I58" s="64">
        <f>28/17</f>
        <v>1.6470588235294117</v>
      </c>
      <c r="J58" s="63">
        <v>23</v>
      </c>
      <c r="K58" s="65">
        <v>12</v>
      </c>
      <c r="L58" s="63">
        <v>35</v>
      </c>
      <c r="M58" s="64">
        <f>35/17</f>
        <v>2.0588235294117645</v>
      </c>
      <c r="N58" s="65">
        <v>0</v>
      </c>
      <c r="O58" s="63">
        <v>2</v>
      </c>
      <c r="P58" s="63">
        <v>13</v>
      </c>
    </row>
    <row r="59" spans="1:16" ht="12.75">
      <c r="A59" s="5" t="s">
        <v>149</v>
      </c>
      <c r="B59" s="5" t="s">
        <v>38</v>
      </c>
      <c r="C59" s="8">
        <v>1</v>
      </c>
      <c r="D59" s="8">
        <v>0</v>
      </c>
      <c r="E59" s="20">
        <f>0/1</f>
        <v>0</v>
      </c>
      <c r="F59" s="12">
        <v>0</v>
      </c>
      <c r="G59" s="20">
        <f>0/1</f>
        <v>0</v>
      </c>
      <c r="H59" s="12">
        <v>0</v>
      </c>
      <c r="I59" s="20">
        <f>0/1</f>
        <v>0</v>
      </c>
      <c r="J59" s="8">
        <v>0</v>
      </c>
      <c r="K59" s="28">
        <v>0</v>
      </c>
      <c r="L59" s="8">
        <v>0</v>
      </c>
      <c r="M59" s="20">
        <f>0/1</f>
        <v>0</v>
      </c>
      <c r="N59" s="28">
        <v>0</v>
      </c>
      <c r="O59" s="8">
        <v>0</v>
      </c>
      <c r="P59" s="5">
        <v>0</v>
      </c>
    </row>
    <row r="60" spans="1:16" ht="12.75">
      <c r="A60" s="5">
        <v>9</v>
      </c>
      <c r="B60" s="5" t="s">
        <v>75</v>
      </c>
      <c r="C60" s="8">
        <v>6</v>
      </c>
      <c r="D60" s="8">
        <v>50</v>
      </c>
      <c r="E60" s="20">
        <f>50/6</f>
        <v>8.333333333333334</v>
      </c>
      <c r="F60" s="12">
        <v>11</v>
      </c>
      <c r="G60" s="20">
        <f>11/6</f>
        <v>1.8333333333333333</v>
      </c>
      <c r="H60" s="12">
        <v>12</v>
      </c>
      <c r="I60" s="20">
        <f>12/6</f>
        <v>2</v>
      </c>
      <c r="J60" s="8">
        <v>13</v>
      </c>
      <c r="K60" s="28">
        <v>3</v>
      </c>
      <c r="L60" s="8">
        <v>16</v>
      </c>
      <c r="M60" s="20">
        <f>16/6</f>
        <v>2.6666666666666665</v>
      </c>
      <c r="N60" s="28">
        <v>2</v>
      </c>
      <c r="O60" s="8">
        <v>1</v>
      </c>
      <c r="P60" s="5">
        <v>5</v>
      </c>
    </row>
    <row r="61" spans="1:16" ht="12.75">
      <c r="A61" s="5">
        <v>16</v>
      </c>
      <c r="B61" s="5" t="s">
        <v>34</v>
      </c>
      <c r="C61" s="8">
        <v>25</v>
      </c>
      <c r="D61" s="8">
        <v>248</v>
      </c>
      <c r="E61" s="20">
        <f>248/25</f>
        <v>9.92</v>
      </c>
      <c r="F61" s="66">
        <v>41</v>
      </c>
      <c r="G61" s="64">
        <f>41/23</f>
        <v>1.7826086956521738</v>
      </c>
      <c r="H61" s="66">
        <v>60</v>
      </c>
      <c r="I61" s="64">
        <f>60/23</f>
        <v>2.608695652173913</v>
      </c>
      <c r="J61" s="63">
        <v>67</v>
      </c>
      <c r="K61" s="65">
        <v>19</v>
      </c>
      <c r="L61" s="63">
        <v>86</v>
      </c>
      <c r="M61" s="64">
        <f>86/23</f>
        <v>3.739130434782609</v>
      </c>
      <c r="N61" s="65">
        <v>13</v>
      </c>
      <c r="O61" s="63">
        <v>11</v>
      </c>
      <c r="P61" s="63">
        <v>10</v>
      </c>
    </row>
    <row r="62" spans="1:16" ht="12.75">
      <c r="A62" s="5" t="s">
        <v>126</v>
      </c>
      <c r="B62" s="5" t="s">
        <v>36</v>
      </c>
      <c r="C62" s="8">
        <v>2</v>
      </c>
      <c r="D62" s="8">
        <v>3</v>
      </c>
      <c r="E62" s="20">
        <f>3/2</f>
        <v>1.5</v>
      </c>
      <c r="F62" s="12">
        <v>1</v>
      </c>
      <c r="G62" s="20">
        <f>1/2</f>
        <v>0.5</v>
      </c>
      <c r="H62" s="12">
        <v>2</v>
      </c>
      <c r="I62" s="20">
        <f>2/2</f>
        <v>1</v>
      </c>
      <c r="J62" s="8">
        <v>4</v>
      </c>
      <c r="K62" s="28">
        <v>0</v>
      </c>
      <c r="L62" s="8">
        <v>4</v>
      </c>
      <c r="M62" s="20">
        <f>4/2</f>
        <v>2</v>
      </c>
      <c r="N62" s="28">
        <v>0</v>
      </c>
      <c r="O62" s="8">
        <v>0</v>
      </c>
      <c r="P62" s="5">
        <v>0</v>
      </c>
    </row>
    <row r="63" spans="1:16" ht="12.75">
      <c r="A63" s="5">
        <v>42</v>
      </c>
      <c r="B63" s="5" t="s">
        <v>76</v>
      </c>
      <c r="C63" s="8">
        <v>21</v>
      </c>
      <c r="D63" s="8">
        <v>243</v>
      </c>
      <c r="E63" s="20">
        <f>243/21</f>
        <v>11.571428571428571</v>
      </c>
      <c r="F63" s="66">
        <v>63</v>
      </c>
      <c r="G63" s="64">
        <f>63/19</f>
        <v>3.3157894736842106</v>
      </c>
      <c r="H63" s="66">
        <v>75</v>
      </c>
      <c r="I63" s="64">
        <f>75/19</f>
        <v>3.9473684210526314</v>
      </c>
      <c r="J63" s="63">
        <v>99</v>
      </c>
      <c r="K63" s="65">
        <v>40</v>
      </c>
      <c r="L63" s="63">
        <v>139</v>
      </c>
      <c r="M63" s="64">
        <f>139/19</f>
        <v>7.315789473684211</v>
      </c>
      <c r="N63" s="65">
        <v>2</v>
      </c>
      <c r="O63" s="63">
        <v>4</v>
      </c>
      <c r="P63" s="63">
        <v>15</v>
      </c>
    </row>
    <row r="64" spans="1:16" ht="12.75">
      <c r="A64" s="5">
        <v>19</v>
      </c>
      <c r="B64" s="5" t="s">
        <v>35</v>
      </c>
      <c r="C64" s="8">
        <v>9</v>
      </c>
      <c r="D64" s="8">
        <v>50</v>
      </c>
      <c r="E64" s="20">
        <f>50/9</f>
        <v>5.555555555555555</v>
      </c>
      <c r="F64" s="47">
        <v>20</v>
      </c>
      <c r="G64" s="45">
        <f>20/8</f>
        <v>2.5</v>
      </c>
      <c r="H64" s="47">
        <v>13</v>
      </c>
      <c r="I64" s="45">
        <f>13/8</f>
        <v>1.625</v>
      </c>
      <c r="J64" s="44">
        <v>18</v>
      </c>
      <c r="K64" s="46">
        <v>5</v>
      </c>
      <c r="L64" s="44">
        <v>23</v>
      </c>
      <c r="M64" s="45">
        <f>23/8</f>
        <v>2.875</v>
      </c>
      <c r="N64" s="46">
        <v>5</v>
      </c>
      <c r="O64" s="47">
        <v>2</v>
      </c>
      <c r="P64" s="44">
        <v>1</v>
      </c>
    </row>
    <row r="65" spans="1:16" ht="12.75">
      <c r="A65" s="5">
        <v>11</v>
      </c>
      <c r="B65" s="19" t="s">
        <v>33</v>
      </c>
      <c r="C65" s="8">
        <v>10</v>
      </c>
      <c r="D65" s="8">
        <v>27</v>
      </c>
      <c r="E65" s="20">
        <f>27/10</f>
        <v>2.7</v>
      </c>
      <c r="F65" s="47">
        <v>11</v>
      </c>
      <c r="G65" s="52">
        <f>11/9</f>
        <v>1.2222222222222223</v>
      </c>
      <c r="H65" s="47">
        <v>5</v>
      </c>
      <c r="I65" s="52">
        <f>5/9</f>
        <v>0.5555555555555556</v>
      </c>
      <c r="J65" s="47">
        <v>10</v>
      </c>
      <c r="K65" s="53">
        <v>3</v>
      </c>
      <c r="L65" s="47">
        <v>13</v>
      </c>
      <c r="M65" s="52">
        <f>13/9</f>
        <v>1.4444444444444444</v>
      </c>
      <c r="N65" s="53">
        <v>5</v>
      </c>
      <c r="O65" s="44">
        <v>3</v>
      </c>
      <c r="P65" s="44">
        <v>1</v>
      </c>
    </row>
    <row r="66" spans="1:16" ht="12.75">
      <c r="A66" s="5">
        <v>15</v>
      </c>
      <c r="B66" s="5" t="s">
        <v>127</v>
      </c>
      <c r="C66" s="8">
        <v>14</v>
      </c>
      <c r="D66" s="8">
        <v>208</v>
      </c>
      <c r="E66" s="20">
        <f>208/14</f>
        <v>14.857142857142858</v>
      </c>
      <c r="F66" s="47">
        <v>26</v>
      </c>
      <c r="G66" s="45">
        <f>26/13</f>
        <v>2</v>
      </c>
      <c r="H66" s="44">
        <v>53</v>
      </c>
      <c r="I66" s="45">
        <f>53/13</f>
        <v>4.076923076923077</v>
      </c>
      <c r="J66" s="44">
        <v>81</v>
      </c>
      <c r="K66" s="46">
        <v>33</v>
      </c>
      <c r="L66" s="44">
        <v>114</v>
      </c>
      <c r="M66" s="45">
        <f>114/13</f>
        <v>8.76923076923077</v>
      </c>
      <c r="N66" s="46">
        <v>8</v>
      </c>
      <c r="O66" s="44">
        <v>7</v>
      </c>
      <c r="P66" s="44">
        <v>19</v>
      </c>
    </row>
    <row r="67" spans="1:16" ht="12.75">
      <c r="A67" s="5"/>
      <c r="B67" s="5"/>
      <c r="C67" s="8"/>
      <c r="D67" s="8"/>
      <c r="E67" s="8"/>
      <c r="F67" s="12"/>
      <c r="G67" s="8"/>
      <c r="H67" s="8"/>
      <c r="I67" s="8"/>
      <c r="J67" s="8"/>
      <c r="K67" s="28"/>
      <c r="L67" s="8"/>
      <c r="M67" s="20"/>
      <c r="N67" s="28"/>
      <c r="O67" s="8"/>
      <c r="P67" s="5"/>
    </row>
    <row r="68" spans="1:14" ht="12.75">
      <c r="A68" s="5"/>
      <c r="B68" s="5"/>
      <c r="C68" s="8"/>
      <c r="D68" s="8"/>
      <c r="E68" s="8"/>
      <c r="F68" s="12"/>
      <c r="G68" s="8"/>
      <c r="H68" s="8"/>
      <c r="I68" s="8"/>
      <c r="J68" s="5"/>
      <c r="K68" s="33"/>
      <c r="L68" s="5"/>
      <c r="M68" s="16"/>
      <c r="N68" s="33"/>
    </row>
    <row r="69" spans="1:16" ht="12.75">
      <c r="A69" s="4" t="s">
        <v>18</v>
      </c>
      <c r="B69" s="4" t="s">
        <v>19</v>
      </c>
      <c r="C69" s="4" t="s">
        <v>39</v>
      </c>
      <c r="D69" s="4" t="s">
        <v>40</v>
      </c>
      <c r="E69" s="4" t="s">
        <v>41</v>
      </c>
      <c r="F69" s="4" t="s">
        <v>4</v>
      </c>
      <c r="G69" s="4" t="s">
        <v>5</v>
      </c>
      <c r="H69" s="4" t="s">
        <v>6</v>
      </c>
      <c r="I69" s="4" t="s">
        <v>11</v>
      </c>
      <c r="J69" s="4" t="s">
        <v>25</v>
      </c>
      <c r="K69" s="27" t="s">
        <v>42</v>
      </c>
      <c r="L69" s="4" t="s">
        <v>25</v>
      </c>
      <c r="M69" s="39" t="s">
        <v>43</v>
      </c>
      <c r="N69" s="40"/>
      <c r="O69" s="23" t="s">
        <v>71</v>
      </c>
      <c r="P69" s="41" t="s">
        <v>25</v>
      </c>
    </row>
    <row r="70" spans="1:16" ht="12.75">
      <c r="A70" s="5">
        <v>6</v>
      </c>
      <c r="B70" s="5" t="s">
        <v>28</v>
      </c>
      <c r="C70" s="71" t="s">
        <v>184</v>
      </c>
      <c r="D70" s="72">
        <f>15/21</f>
        <v>0.7142857142857143</v>
      </c>
      <c r="E70" s="71" t="s">
        <v>223</v>
      </c>
      <c r="F70" s="72">
        <f>22/39</f>
        <v>0.5641025641025641</v>
      </c>
      <c r="G70" s="71" t="s">
        <v>224</v>
      </c>
      <c r="H70" s="72">
        <f>14/38</f>
        <v>0.3684210526315789</v>
      </c>
      <c r="I70" s="73">
        <v>29</v>
      </c>
      <c r="J70" s="74">
        <f>29/21</f>
        <v>1.380952380952381</v>
      </c>
      <c r="K70" s="75">
        <v>29</v>
      </c>
      <c r="L70" s="74">
        <f>29/21</f>
        <v>1.380952380952381</v>
      </c>
      <c r="M70" s="76"/>
      <c r="N70" s="77">
        <v>0</v>
      </c>
      <c r="O70" s="70">
        <v>88</v>
      </c>
      <c r="P70" s="68">
        <f>88/21</f>
        <v>4.190476190476191</v>
      </c>
    </row>
    <row r="71" spans="1:16" ht="12.75">
      <c r="A71" s="5">
        <v>4</v>
      </c>
      <c r="B71" s="5" t="s">
        <v>72</v>
      </c>
      <c r="C71" s="66" t="s">
        <v>222</v>
      </c>
      <c r="D71" s="67">
        <f>23/36</f>
        <v>0.6388888888888888</v>
      </c>
      <c r="E71" s="66" t="s">
        <v>183</v>
      </c>
      <c r="F71" s="67">
        <f>17/40</f>
        <v>0.425</v>
      </c>
      <c r="G71" s="66" t="s">
        <v>179</v>
      </c>
      <c r="H71" s="67">
        <f>0/8</f>
        <v>0</v>
      </c>
      <c r="I71" s="63">
        <v>35</v>
      </c>
      <c r="J71" s="64">
        <f>35/22</f>
        <v>1.5909090909090908</v>
      </c>
      <c r="K71" s="65">
        <v>37</v>
      </c>
      <c r="L71" s="64">
        <f>37/22</f>
        <v>1.6818181818181819</v>
      </c>
      <c r="M71" s="68"/>
      <c r="N71" s="69">
        <v>2</v>
      </c>
      <c r="O71" s="70">
        <v>57</v>
      </c>
      <c r="P71" s="68">
        <f>57/22</f>
        <v>2.590909090909091</v>
      </c>
    </row>
    <row r="72" spans="1:16" ht="12.75">
      <c r="A72" s="5">
        <v>13</v>
      </c>
      <c r="B72" s="5" t="s">
        <v>27</v>
      </c>
      <c r="C72" s="12" t="s">
        <v>78</v>
      </c>
      <c r="D72" s="22">
        <v>0</v>
      </c>
      <c r="E72" s="12" t="s">
        <v>78</v>
      </c>
      <c r="F72" s="22">
        <v>0</v>
      </c>
      <c r="G72" s="12" t="s">
        <v>78</v>
      </c>
      <c r="H72" s="22">
        <v>0</v>
      </c>
      <c r="I72" s="8">
        <v>0</v>
      </c>
      <c r="J72" s="20">
        <v>0</v>
      </c>
      <c r="K72" s="28">
        <v>0</v>
      </c>
      <c r="L72" s="20">
        <v>0</v>
      </c>
      <c r="M72" s="38"/>
      <c r="N72" s="32">
        <v>0</v>
      </c>
      <c r="O72">
        <v>0</v>
      </c>
      <c r="P72" s="34">
        <v>0</v>
      </c>
    </row>
    <row r="73" spans="1:16" ht="12.75">
      <c r="A73" s="5">
        <v>10</v>
      </c>
      <c r="B73" s="5" t="s">
        <v>31</v>
      </c>
      <c r="C73" s="66" t="s">
        <v>194</v>
      </c>
      <c r="D73" s="67">
        <f>7/10</f>
        <v>0.7</v>
      </c>
      <c r="E73" s="66" t="s">
        <v>231</v>
      </c>
      <c r="F73" s="67">
        <f>26/48</f>
        <v>0.5416666666666666</v>
      </c>
      <c r="G73" s="66" t="s">
        <v>232</v>
      </c>
      <c r="H73" s="67">
        <f>36/122</f>
        <v>0.29508196721311475</v>
      </c>
      <c r="I73" s="63">
        <v>25</v>
      </c>
      <c r="J73" s="64">
        <f>25/22</f>
        <v>1.1363636363636365</v>
      </c>
      <c r="K73" s="65">
        <v>26</v>
      </c>
      <c r="L73" s="64">
        <f>26/22</f>
        <v>1.1818181818181819</v>
      </c>
      <c r="M73" s="68"/>
      <c r="N73" s="69">
        <v>1</v>
      </c>
      <c r="O73" s="70">
        <v>72</v>
      </c>
      <c r="P73" s="68">
        <f>72/22</f>
        <v>3.272727272727273</v>
      </c>
    </row>
    <row r="74" spans="1:16" ht="12.75">
      <c r="A74" s="5" t="s">
        <v>148</v>
      </c>
      <c r="B74" s="5" t="s">
        <v>32</v>
      </c>
      <c r="C74" s="12" t="s">
        <v>77</v>
      </c>
      <c r="D74" s="22">
        <f>1/2</f>
        <v>0.5</v>
      </c>
      <c r="E74" s="12" t="s">
        <v>80</v>
      </c>
      <c r="F74" s="22">
        <f>2/4</f>
        <v>0.5</v>
      </c>
      <c r="G74" s="12" t="s">
        <v>79</v>
      </c>
      <c r="H74" s="22">
        <f>1/4</f>
        <v>0.25</v>
      </c>
      <c r="I74" s="8">
        <v>0</v>
      </c>
      <c r="J74" s="20">
        <f>0/4</f>
        <v>0</v>
      </c>
      <c r="K74" s="28">
        <v>5</v>
      </c>
      <c r="L74" s="20">
        <f>5/4</f>
        <v>1.25</v>
      </c>
      <c r="M74" s="38"/>
      <c r="N74" s="32">
        <v>5</v>
      </c>
      <c r="O74">
        <v>12</v>
      </c>
      <c r="P74" s="34">
        <f>12/4</f>
        <v>3</v>
      </c>
    </row>
    <row r="75" spans="1:16" ht="12.75">
      <c r="A75" s="5">
        <v>14</v>
      </c>
      <c r="B75" s="5" t="s">
        <v>113</v>
      </c>
      <c r="C75" s="66" t="s">
        <v>225</v>
      </c>
      <c r="D75" s="67">
        <f>14/19</f>
        <v>0.7368421052631579</v>
      </c>
      <c r="E75" s="66" t="s">
        <v>226</v>
      </c>
      <c r="F75" s="67">
        <f>18/38</f>
        <v>0.47368421052631576</v>
      </c>
      <c r="G75" s="66" t="s">
        <v>227</v>
      </c>
      <c r="H75" s="67">
        <f>22/58</f>
        <v>0.3793103448275862</v>
      </c>
      <c r="I75" s="63">
        <v>21</v>
      </c>
      <c r="J75" s="64">
        <f>21/13</f>
        <v>1.6153846153846154</v>
      </c>
      <c r="K75" s="65">
        <v>22</v>
      </c>
      <c r="L75" s="64">
        <f>22/13</f>
        <v>1.6923076923076923</v>
      </c>
      <c r="M75" s="68"/>
      <c r="N75" s="69">
        <v>1</v>
      </c>
      <c r="O75" s="70">
        <v>95</v>
      </c>
      <c r="P75" s="68">
        <f>95/13</f>
        <v>7.3076923076923075</v>
      </c>
    </row>
    <row r="76" spans="1:16" ht="12.75">
      <c r="A76" s="5">
        <v>18</v>
      </c>
      <c r="B76" s="5" t="s">
        <v>73</v>
      </c>
      <c r="C76" s="47" t="s">
        <v>233</v>
      </c>
      <c r="D76" s="48">
        <f>60/93</f>
        <v>0.6451612903225806</v>
      </c>
      <c r="E76" s="47" t="s">
        <v>234</v>
      </c>
      <c r="F76" s="48">
        <f>39/91</f>
        <v>0.42857142857142855</v>
      </c>
      <c r="G76" s="47" t="s">
        <v>235</v>
      </c>
      <c r="H76" s="48">
        <f>17/49</f>
        <v>0.3469387755102041</v>
      </c>
      <c r="I76" s="44">
        <v>47</v>
      </c>
      <c r="J76" s="45">
        <f>47/24</f>
        <v>1.9583333333333333</v>
      </c>
      <c r="K76" s="46">
        <v>44</v>
      </c>
      <c r="L76" s="45">
        <f>44/24</f>
        <v>1.8333333333333333</v>
      </c>
      <c r="M76" s="49"/>
      <c r="N76" s="50">
        <v>-3</v>
      </c>
      <c r="O76" s="51">
        <v>249</v>
      </c>
      <c r="P76" s="49">
        <f>249/24</f>
        <v>10.375</v>
      </c>
    </row>
    <row r="77" spans="1:16" ht="12.75">
      <c r="A77" s="5">
        <v>5</v>
      </c>
      <c r="B77" s="5" t="s">
        <v>74</v>
      </c>
      <c r="C77" s="12" t="s">
        <v>102</v>
      </c>
      <c r="D77" s="22">
        <f>20/28</f>
        <v>0.7142857142857143</v>
      </c>
      <c r="E77" s="12" t="s">
        <v>103</v>
      </c>
      <c r="F77" s="22">
        <f>18/52</f>
        <v>0.34615384615384615</v>
      </c>
      <c r="G77" s="12" t="s">
        <v>104</v>
      </c>
      <c r="H77" s="22">
        <f>3/11</f>
        <v>0.2727272727272727</v>
      </c>
      <c r="I77" s="8">
        <v>14</v>
      </c>
      <c r="J77" s="20">
        <f>14/7</f>
        <v>2</v>
      </c>
      <c r="K77" s="28">
        <v>7</v>
      </c>
      <c r="L77" s="20">
        <f>7/7</f>
        <v>1</v>
      </c>
      <c r="M77" s="38"/>
      <c r="N77" s="32">
        <v>-7</v>
      </c>
      <c r="O77">
        <v>45</v>
      </c>
      <c r="P77" s="34">
        <f>45/7</f>
        <v>6.428571428571429</v>
      </c>
    </row>
    <row r="78" spans="1:16" ht="12.75">
      <c r="A78" s="5">
        <v>8</v>
      </c>
      <c r="B78" s="5" t="s">
        <v>29</v>
      </c>
      <c r="C78" s="47" t="s">
        <v>236</v>
      </c>
      <c r="D78" s="48">
        <f>13/18</f>
        <v>0.7222222222222222</v>
      </c>
      <c r="E78" s="47" t="s">
        <v>237</v>
      </c>
      <c r="F78" s="48">
        <f>22/47</f>
        <v>0.46808510638297873</v>
      </c>
      <c r="G78" s="47" t="s">
        <v>238</v>
      </c>
      <c r="H78" s="48">
        <f>10/25</f>
        <v>0.4</v>
      </c>
      <c r="I78" s="44">
        <v>10</v>
      </c>
      <c r="J78" s="45">
        <f>10/21</f>
        <v>0.47619047619047616</v>
      </c>
      <c r="K78" s="46">
        <v>19</v>
      </c>
      <c r="L78" s="45">
        <f>19/21</f>
        <v>0.9047619047619048</v>
      </c>
      <c r="M78" s="49"/>
      <c r="N78" s="50">
        <v>9</v>
      </c>
      <c r="O78" s="51">
        <v>68</v>
      </c>
      <c r="P78" s="49">
        <f>68/21</f>
        <v>3.238095238095238</v>
      </c>
    </row>
    <row r="79" spans="1:16" ht="12.75">
      <c r="A79" s="5">
        <v>12</v>
      </c>
      <c r="B79" s="5" t="s">
        <v>30</v>
      </c>
      <c r="C79" s="12" t="s">
        <v>104</v>
      </c>
      <c r="D79" s="22">
        <f>3/11</f>
        <v>0.2727272727272727</v>
      </c>
      <c r="E79" s="12" t="s">
        <v>180</v>
      </c>
      <c r="F79" s="22">
        <f>5/11</f>
        <v>0.45454545454545453</v>
      </c>
      <c r="G79" s="12" t="s">
        <v>77</v>
      </c>
      <c r="H79" s="22">
        <f>1/2</f>
        <v>0.5</v>
      </c>
      <c r="I79" s="8">
        <v>2</v>
      </c>
      <c r="J79" s="20">
        <f>2/3</f>
        <v>0.6666666666666666</v>
      </c>
      <c r="K79" s="28">
        <v>0</v>
      </c>
      <c r="L79" s="20">
        <f>0/3</f>
        <v>0</v>
      </c>
      <c r="M79" s="38"/>
      <c r="N79" s="32">
        <v>-2</v>
      </c>
      <c r="O79">
        <v>2</v>
      </c>
      <c r="P79" s="34">
        <f>2/3</f>
        <v>0.6666666666666666</v>
      </c>
    </row>
    <row r="80" spans="1:16" ht="12.75">
      <c r="A80" s="5">
        <v>20</v>
      </c>
      <c r="B80" s="5" t="s">
        <v>37</v>
      </c>
      <c r="C80" s="66" t="s">
        <v>228</v>
      </c>
      <c r="D80" s="67">
        <f>23/34</f>
        <v>0.6764705882352942</v>
      </c>
      <c r="E80" s="66" t="s">
        <v>229</v>
      </c>
      <c r="F80" s="67">
        <f>31/63</f>
        <v>0.49206349206349204</v>
      </c>
      <c r="G80" s="66" t="s">
        <v>230</v>
      </c>
      <c r="H80" s="67">
        <f>5/22</f>
        <v>0.22727272727272727</v>
      </c>
      <c r="I80" s="63">
        <v>19</v>
      </c>
      <c r="J80" s="64">
        <f>19/17</f>
        <v>1.1176470588235294</v>
      </c>
      <c r="K80" s="65">
        <v>32</v>
      </c>
      <c r="L80" s="64">
        <f>32/17</f>
        <v>1.8823529411764706</v>
      </c>
      <c r="M80" s="68"/>
      <c r="N80" s="69">
        <v>13</v>
      </c>
      <c r="O80" s="70">
        <v>93</v>
      </c>
      <c r="P80" s="68">
        <f>93/17</f>
        <v>5.470588235294118</v>
      </c>
    </row>
    <row r="81" spans="1:16" ht="12.75">
      <c r="A81" s="5" t="s">
        <v>149</v>
      </c>
      <c r="B81" s="5" t="s">
        <v>38</v>
      </c>
      <c r="C81" s="12" t="s">
        <v>150</v>
      </c>
      <c r="D81" s="22">
        <f>0</f>
        <v>0</v>
      </c>
      <c r="E81" s="12" t="s">
        <v>151</v>
      </c>
      <c r="F81" s="22">
        <f>0/1</f>
        <v>0</v>
      </c>
      <c r="G81" s="12" t="s">
        <v>150</v>
      </c>
      <c r="H81" s="22">
        <v>0</v>
      </c>
      <c r="I81" s="8">
        <v>0</v>
      </c>
      <c r="J81" s="20">
        <f>0/1</f>
        <v>0</v>
      </c>
      <c r="K81" s="28">
        <v>0</v>
      </c>
      <c r="L81" s="20">
        <f>0/1</f>
        <v>0</v>
      </c>
      <c r="M81" s="38"/>
      <c r="N81" s="32">
        <v>0</v>
      </c>
      <c r="O81">
        <v>-1</v>
      </c>
      <c r="P81" s="34">
        <f>-1/1</f>
        <v>-1</v>
      </c>
    </row>
    <row r="82" spans="1:16" ht="12.75">
      <c r="A82" s="5">
        <v>9</v>
      </c>
      <c r="B82" s="5" t="s">
        <v>75</v>
      </c>
      <c r="C82" s="12" t="s">
        <v>181</v>
      </c>
      <c r="D82" s="22">
        <f>11/20</f>
        <v>0.55</v>
      </c>
      <c r="E82" s="12" t="s">
        <v>182</v>
      </c>
      <c r="F82" s="22">
        <f>9/16</f>
        <v>0.5625</v>
      </c>
      <c r="G82" s="12" t="s">
        <v>161</v>
      </c>
      <c r="H82" s="22">
        <f>7/15</f>
        <v>0.4666666666666667</v>
      </c>
      <c r="I82" s="8">
        <v>18</v>
      </c>
      <c r="J82" s="20">
        <f>18/6</f>
        <v>3</v>
      </c>
      <c r="K82" s="28">
        <v>18</v>
      </c>
      <c r="L82" s="20">
        <f>18/6</f>
        <v>3</v>
      </c>
      <c r="M82" s="38"/>
      <c r="N82" s="32">
        <v>0</v>
      </c>
      <c r="O82">
        <v>49</v>
      </c>
      <c r="P82" s="34">
        <f>49/6</f>
        <v>8.166666666666666</v>
      </c>
    </row>
    <row r="83" spans="1:16" ht="12.75">
      <c r="A83" s="5">
        <v>16</v>
      </c>
      <c r="B83" s="5" t="s">
        <v>34</v>
      </c>
      <c r="C83" s="66" t="s">
        <v>242</v>
      </c>
      <c r="D83" s="67">
        <f>64/80</f>
        <v>0.8</v>
      </c>
      <c r="E83" s="66" t="s">
        <v>243</v>
      </c>
      <c r="F83" s="67">
        <f>78/159</f>
        <v>0.49056603773584906</v>
      </c>
      <c r="G83" s="66" t="s">
        <v>244</v>
      </c>
      <c r="H83" s="67">
        <f>4/13</f>
        <v>0.3076923076923077</v>
      </c>
      <c r="I83" s="63">
        <v>29</v>
      </c>
      <c r="J83" s="64">
        <f>29/23</f>
        <v>1.2608695652173914</v>
      </c>
      <c r="K83" s="65">
        <v>21</v>
      </c>
      <c r="L83" s="64">
        <f>21/23</f>
        <v>0.9130434782608695</v>
      </c>
      <c r="M83" s="68"/>
      <c r="N83" s="69">
        <v>-8</v>
      </c>
      <c r="O83" s="70">
        <v>236</v>
      </c>
      <c r="P83" s="68">
        <f>236/23</f>
        <v>10.26086956521739</v>
      </c>
    </row>
    <row r="84" spans="1:16" ht="12.75">
      <c r="A84" s="5" t="s">
        <v>126</v>
      </c>
      <c r="B84" s="5" t="s">
        <v>36</v>
      </c>
      <c r="C84" s="12" t="s">
        <v>77</v>
      </c>
      <c r="D84" s="22">
        <f>1/2</f>
        <v>0.5</v>
      </c>
      <c r="E84" s="12" t="s">
        <v>79</v>
      </c>
      <c r="F84" s="22">
        <f>1/4</f>
        <v>0.25</v>
      </c>
      <c r="G84" s="12" t="s">
        <v>78</v>
      </c>
      <c r="H84" s="22">
        <v>0</v>
      </c>
      <c r="I84" s="8">
        <v>1</v>
      </c>
      <c r="J84" s="20">
        <f>1/2</f>
        <v>0.5</v>
      </c>
      <c r="K84" s="28">
        <v>2</v>
      </c>
      <c r="L84" s="20">
        <f>2/2</f>
        <v>1</v>
      </c>
      <c r="M84" s="38"/>
      <c r="N84" s="32">
        <v>1</v>
      </c>
      <c r="O84">
        <v>4</v>
      </c>
      <c r="P84" s="34">
        <f>4/2</f>
        <v>2</v>
      </c>
    </row>
    <row r="85" spans="1:16" ht="12.75">
      <c r="A85" s="5">
        <v>42</v>
      </c>
      <c r="B85" s="5" t="s">
        <v>76</v>
      </c>
      <c r="C85" s="66" t="s">
        <v>239</v>
      </c>
      <c r="D85" s="67">
        <f>54/95</f>
        <v>0.5684210526315789</v>
      </c>
      <c r="E85" s="66" t="s">
        <v>240</v>
      </c>
      <c r="F85" s="67">
        <f>51/111</f>
        <v>0.4594594594594595</v>
      </c>
      <c r="G85" s="66" t="s">
        <v>241</v>
      </c>
      <c r="H85" s="67">
        <f>21/87</f>
        <v>0.2413793103448276</v>
      </c>
      <c r="I85" s="63">
        <v>33</v>
      </c>
      <c r="J85" s="64">
        <f>33/19</f>
        <v>1.736842105263158</v>
      </c>
      <c r="K85" s="65">
        <v>46</v>
      </c>
      <c r="L85" s="64">
        <f>46/19</f>
        <v>2.4210526315789473</v>
      </c>
      <c r="M85" s="68"/>
      <c r="N85" s="69">
        <v>13</v>
      </c>
      <c r="O85" s="70">
        <v>238</v>
      </c>
      <c r="P85" s="68">
        <f>238/19</f>
        <v>12.526315789473685</v>
      </c>
    </row>
    <row r="86" spans="1:16" ht="12.75">
      <c r="A86" s="5">
        <v>19</v>
      </c>
      <c r="B86" s="5" t="s">
        <v>35</v>
      </c>
      <c r="C86" s="47" t="s">
        <v>128</v>
      </c>
      <c r="D86" s="48">
        <f>10/15</f>
        <v>0.6666666666666666</v>
      </c>
      <c r="E86" s="47" t="s">
        <v>129</v>
      </c>
      <c r="F86" s="48">
        <f>16/31</f>
        <v>0.5161290322580645</v>
      </c>
      <c r="G86" s="47" t="s">
        <v>105</v>
      </c>
      <c r="H86" s="48">
        <f>1/15</f>
        <v>0.06666666666666667</v>
      </c>
      <c r="I86" s="44">
        <v>8</v>
      </c>
      <c r="J86" s="45">
        <f>8/8</f>
        <v>1</v>
      </c>
      <c r="K86" s="46">
        <v>7</v>
      </c>
      <c r="L86" s="45">
        <f>7/8</f>
        <v>0.875</v>
      </c>
      <c r="M86" s="45"/>
      <c r="N86" s="55">
        <v>-1</v>
      </c>
      <c r="O86" s="51">
        <v>32</v>
      </c>
      <c r="P86" s="49">
        <f>32/8</f>
        <v>4</v>
      </c>
    </row>
    <row r="87" spans="1:16" ht="12.75">
      <c r="A87" s="5">
        <v>11</v>
      </c>
      <c r="B87" s="19" t="s">
        <v>33</v>
      </c>
      <c r="C87" s="47" t="s">
        <v>195</v>
      </c>
      <c r="D87" s="54">
        <f>3/7</f>
        <v>0.42857142857142855</v>
      </c>
      <c r="E87" s="47" t="s">
        <v>196</v>
      </c>
      <c r="F87" s="48">
        <f>9/20</f>
        <v>0.45</v>
      </c>
      <c r="G87" s="47" t="s">
        <v>78</v>
      </c>
      <c r="H87" s="54">
        <f>0</f>
        <v>0</v>
      </c>
      <c r="I87" s="47">
        <v>6</v>
      </c>
      <c r="J87" s="45">
        <f>6/9</f>
        <v>0.6666666666666666</v>
      </c>
      <c r="K87" s="53">
        <v>6</v>
      </c>
      <c r="L87" s="45">
        <f>6/9</f>
        <v>0.6666666666666666</v>
      </c>
      <c r="M87" s="45"/>
      <c r="N87" s="55">
        <v>0</v>
      </c>
      <c r="O87" s="51">
        <v>16</v>
      </c>
      <c r="P87" s="49">
        <f>16/9</f>
        <v>1.7777777777777777</v>
      </c>
    </row>
    <row r="88" spans="1:16" ht="12.75">
      <c r="A88" s="5">
        <v>15</v>
      </c>
      <c r="B88" s="5" t="s">
        <v>127</v>
      </c>
      <c r="C88" s="47" t="s">
        <v>245</v>
      </c>
      <c r="D88" s="48">
        <f>53/78</f>
        <v>0.6794871794871795</v>
      </c>
      <c r="E88" s="47" t="s">
        <v>246</v>
      </c>
      <c r="F88" s="48">
        <f>67/117</f>
        <v>0.5726495726495726</v>
      </c>
      <c r="G88" s="47" t="s">
        <v>78</v>
      </c>
      <c r="H88" s="48">
        <v>0</v>
      </c>
      <c r="I88" s="44">
        <v>28</v>
      </c>
      <c r="J88" s="45">
        <f>28/13</f>
        <v>2.1538461538461537</v>
      </c>
      <c r="K88" s="46">
        <v>37</v>
      </c>
      <c r="L88" s="45">
        <f>37/13</f>
        <v>2.8461538461538463</v>
      </c>
      <c r="M88" s="45"/>
      <c r="N88" s="55">
        <v>9</v>
      </c>
      <c r="O88" s="51">
        <v>279</v>
      </c>
      <c r="P88" s="49">
        <f>279/13</f>
        <v>21.46153846153846</v>
      </c>
    </row>
    <row r="89" spans="1:16" ht="12.75">
      <c r="A89" s="5"/>
      <c r="B89" s="5"/>
      <c r="C89" s="3"/>
      <c r="D89" s="3"/>
      <c r="E89" s="3"/>
      <c r="F89" s="3"/>
      <c r="G89" s="3"/>
      <c r="H89" s="3"/>
      <c r="P89" s="34"/>
    </row>
    <row r="90" spans="1:16" ht="12.75">
      <c r="A90" s="12"/>
      <c r="B90" s="25"/>
      <c r="C90" s="3"/>
      <c r="P90" s="34"/>
    </row>
    <row r="91" spans="1:16" ht="12.75">
      <c r="A91" s="3"/>
      <c r="B91" s="3"/>
      <c r="C91" s="3"/>
      <c r="P91" s="34"/>
    </row>
    <row r="92" ht="12.75">
      <c r="P92" s="34"/>
    </row>
    <row r="93" ht="12.75">
      <c r="P93" s="34"/>
    </row>
    <row r="94" ht="12.75">
      <c r="P94" s="34"/>
    </row>
    <row r="95" ht="12.75">
      <c r="P95" s="34"/>
    </row>
    <row r="96" ht="12.75">
      <c r="P96" s="34"/>
    </row>
    <row r="97" ht="12.75">
      <c r="P97" s="34"/>
    </row>
    <row r="98" ht="12.75">
      <c r="P98" s="34"/>
    </row>
    <row r="99" ht="12.75">
      <c r="P99" s="34"/>
    </row>
  </sheetData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2007-05-12T10:12:43Z</cp:lastPrinted>
  <dcterms:created xsi:type="dcterms:W3CDTF">2006-11-11T10:07:02Z</dcterms:created>
  <dcterms:modified xsi:type="dcterms:W3CDTF">2007-05-12T19:33:37Z</dcterms:modified>
  <cp:category/>
  <cp:version/>
  <cp:contentType/>
  <cp:contentStatus/>
</cp:coreProperties>
</file>