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quadra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<sst xmlns="http://schemas.openxmlformats.org/spreadsheetml/2006/main" count="215" uniqueCount="160">
  <si>
    <t xml:space="preserve">GIORNATA </t>
  </si>
  <si>
    <t xml:space="preserve">PARTITA </t>
  </si>
  <si>
    <t>% T2</t>
  </si>
  <si>
    <t>T3</t>
  </si>
  <si>
    <t>% T3</t>
  </si>
  <si>
    <t>% TL</t>
  </si>
  <si>
    <t>RIM. D.</t>
  </si>
  <si>
    <t>RIM. O</t>
  </si>
  <si>
    <t>PP</t>
  </si>
  <si>
    <t>RE</t>
  </si>
  <si>
    <t>ASS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</si>
  <si>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</si>
  <si>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</si>
  <si>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</si>
  <si>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</si>
  <si>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</si>
  <si>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</si>
  <si>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</si>
  <si>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</si>
  <si>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</si>
  <si>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</si>
  <si>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</si>
  <si>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</si>
  <si>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</si>
  <si>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</si>
  <si>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</si>
  <si>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</si>
  <si>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</si>
  <si>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Fascetti Leon Lorenzo</t>
  </si>
  <si>
    <t>tiri liberi</t>
  </si>
  <si>
    <t>%TL</t>
  </si>
  <si>
    <t>T2</t>
  </si>
  <si>
    <t xml:space="preserve">RE </t>
  </si>
  <si>
    <t>saldo RE- PP</t>
  </si>
  <si>
    <t>Val</t>
  </si>
  <si>
    <t>Biondi Paolo</t>
  </si>
  <si>
    <t>Orlich Alessandro</t>
  </si>
  <si>
    <t>Minuti</t>
  </si>
  <si>
    <t>St.d</t>
  </si>
  <si>
    <t>St.s</t>
  </si>
  <si>
    <t>Bergami Matteo</t>
  </si>
  <si>
    <t>TOTALE</t>
  </si>
  <si>
    <t>Francia Giacomo</t>
  </si>
  <si>
    <t>Vittuari Luca</t>
  </si>
  <si>
    <t>TT</t>
  </si>
  <si>
    <t>TR</t>
  </si>
  <si>
    <t xml:space="preserve"> TIRI DA 2</t>
  </si>
  <si>
    <t xml:space="preserve"> TIRI DA 3</t>
  </si>
  <si>
    <t xml:space="preserve"> TIRI LIBERI</t>
  </si>
  <si>
    <t>FC</t>
  </si>
  <si>
    <t>FS</t>
  </si>
  <si>
    <t>ST d</t>
  </si>
  <si>
    <t>ST r</t>
  </si>
  <si>
    <t>Voltone Zola Predosa</t>
  </si>
  <si>
    <t>Cus Ferrara</t>
  </si>
  <si>
    <t>Guelfo Basket</t>
  </si>
  <si>
    <t>Libertas Tiberio Cervia</t>
  </si>
  <si>
    <t xml:space="preserve">San Patrignano </t>
  </si>
  <si>
    <t>Veni S. Pietro in Casale</t>
  </si>
  <si>
    <t>Pall. Granarolo</t>
  </si>
  <si>
    <t>Spontricciolo Imola</t>
  </si>
  <si>
    <t>ABC Santarcangelo</t>
  </si>
  <si>
    <t>Baou Tribe BO</t>
  </si>
  <si>
    <t>Nuovo Basket Estense</t>
  </si>
  <si>
    <t>Atletico Basket BO</t>
  </si>
  <si>
    <t>Libertas Ghepard BO</t>
  </si>
  <si>
    <t xml:space="preserve">Virtus Castel S. Pietro </t>
  </si>
  <si>
    <t>S. Mamolo BO</t>
  </si>
  <si>
    <t>1T 49-65</t>
  </si>
  <si>
    <t>2C 94-63</t>
  </si>
  <si>
    <t>3C 65-74</t>
  </si>
  <si>
    <t>4T 98-68</t>
  </si>
  <si>
    <t>MEDIA</t>
  </si>
  <si>
    <t>espuls</t>
  </si>
  <si>
    <t>tecnici</t>
  </si>
  <si>
    <t>Andreoli Luca</t>
  </si>
  <si>
    <t>Carosi Francesco</t>
  </si>
  <si>
    <t>Mantovan Davide</t>
  </si>
  <si>
    <t>Gamberini Filippo</t>
  </si>
  <si>
    <t>Bartolini Luca</t>
  </si>
  <si>
    <t>Lenzi Alessandro</t>
  </si>
  <si>
    <t>0su0</t>
  </si>
  <si>
    <t>2su4</t>
  </si>
  <si>
    <t>0su1</t>
  </si>
  <si>
    <t>5C 60-72</t>
  </si>
  <si>
    <t>6T 65-77</t>
  </si>
  <si>
    <t>Brighetti Gabriele</t>
  </si>
  <si>
    <t>7C 74-47</t>
  </si>
  <si>
    <t>8T 87-76</t>
  </si>
  <si>
    <t>9C 80-59</t>
  </si>
  <si>
    <t>10T 74-45</t>
  </si>
  <si>
    <t>11C 71-73</t>
  </si>
  <si>
    <t>12T 67-53</t>
  </si>
  <si>
    <t>13C 70-67</t>
  </si>
  <si>
    <t>14T 57-68</t>
  </si>
  <si>
    <t>15C 73-50</t>
  </si>
  <si>
    <t>4su8</t>
  </si>
  <si>
    <t>0su2</t>
  </si>
  <si>
    <t>Tiozzo Luca</t>
  </si>
  <si>
    <t>16C 95-94</t>
  </si>
  <si>
    <t>17T 75-56</t>
  </si>
  <si>
    <t>18T 63-70</t>
  </si>
  <si>
    <t>0su4</t>
  </si>
  <si>
    <t>19C 85-46</t>
  </si>
  <si>
    <t>20T 76-81</t>
  </si>
  <si>
    <t>21C 72-70</t>
  </si>
  <si>
    <t>Maccaferri Massimiliano</t>
  </si>
  <si>
    <t>22T 68-47</t>
  </si>
  <si>
    <t>23C 70-76</t>
  </si>
  <si>
    <t>24T 63-48</t>
  </si>
  <si>
    <t>39su41</t>
  </si>
  <si>
    <t>25C 85-73</t>
  </si>
  <si>
    <t>26T 75-77</t>
  </si>
  <si>
    <t>27C 77-61</t>
  </si>
  <si>
    <t>8su22</t>
  </si>
  <si>
    <t>1su8</t>
  </si>
  <si>
    <t>18su26</t>
  </si>
  <si>
    <t>4su21</t>
  </si>
  <si>
    <t>Pall. Guastalla</t>
  </si>
  <si>
    <t>28T  77-75</t>
  </si>
  <si>
    <t>29C 76-72</t>
  </si>
  <si>
    <t>30T 66-61</t>
  </si>
  <si>
    <t>PO C 75-62</t>
  </si>
  <si>
    <t>PO T 63-87</t>
  </si>
  <si>
    <t>PF 2345 - PS 2113</t>
  </si>
  <si>
    <t>MEDIA 73,3 - 66</t>
  </si>
  <si>
    <t>13su24</t>
  </si>
  <si>
    <t>72su95</t>
  </si>
  <si>
    <t>76su155</t>
  </si>
  <si>
    <t>23su62</t>
  </si>
  <si>
    <t>65su139</t>
  </si>
  <si>
    <t>121su236</t>
  </si>
  <si>
    <t>52su72</t>
  </si>
  <si>
    <t>91su174</t>
  </si>
  <si>
    <t>36su114</t>
  </si>
  <si>
    <t>38su55</t>
  </si>
  <si>
    <t>38su76</t>
  </si>
  <si>
    <t>84su189</t>
  </si>
  <si>
    <t>32su78</t>
  </si>
  <si>
    <t>59su148</t>
  </si>
  <si>
    <t>35su56</t>
  </si>
  <si>
    <t>44su94</t>
  </si>
  <si>
    <t>0su3</t>
  </si>
  <si>
    <t>31su39</t>
  </si>
  <si>
    <t>5su24</t>
  </si>
  <si>
    <t>4su18</t>
  </si>
  <si>
    <t>44su74</t>
  </si>
  <si>
    <t>48su123</t>
  </si>
  <si>
    <t>11su39</t>
  </si>
  <si>
    <t>22su79</t>
  </si>
  <si>
    <t>23su28</t>
  </si>
  <si>
    <t>12su26</t>
  </si>
  <si>
    <t>5su12</t>
  </si>
  <si>
    <t>42su80</t>
  </si>
  <si>
    <t>47su101</t>
  </si>
  <si>
    <t>20su71</t>
  </si>
  <si>
    <t>7su18</t>
  </si>
  <si>
    <t>7su26</t>
  </si>
  <si>
    <t>2su2</t>
  </si>
  <si>
    <t>1su3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</si>
</sst>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16</xdr:col>
      <xdr:colOff>209550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0.8515625" style="0" customWidth="1"/>
    <col min="3" max="3" width="4.7109375" style="0" customWidth="1"/>
    <col min="4" max="4" width="4.8515625" style="0" customWidth="1"/>
    <col min="5" max="5" width="6.8515625" style="0" customWidth="1"/>
    <col min="6" max="7" width="4.8515625" style="0" customWidth="1"/>
    <col min="8" max="8" width="7.00390625" style="0" customWidth="1"/>
    <col min="9" max="10" width="4.851562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5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8515625" style="0" customWidth="1"/>
    <col min="22" max="22" width="4.8515625" style="0" customWidth="1"/>
    <col min="23" max="23" width="5.57421875" style="0" customWidth="1"/>
  </cols>
  <sheetData>
    <row r="1" spans="2:20" ht="12.75">
      <c r="B1" s="1"/>
      <c r="C1" s="1"/>
      <c r="D1" s="1"/>
      <c r="N1" s="2"/>
      <c r="R1" s="2"/>
      <c r="S1" s="2"/>
      <c r="T1" s="2"/>
    </row>
    <row r="2" spans="14:20" ht="12.75">
      <c r="N2" s="2"/>
      <c r="R2" s="2"/>
      <c r="S2" s="2"/>
      <c r="T2" s="2"/>
    </row>
    <row r="3" spans="14:20" ht="12.75">
      <c r="N3" s="2"/>
      <c r="R3" s="2"/>
      <c r="S3" s="2"/>
      <c r="T3" s="2"/>
    </row>
    <row r="4" spans="14:20" ht="12.75">
      <c r="N4" s="2"/>
      <c r="R4" s="2"/>
      <c r="S4" s="2"/>
      <c r="T4" s="2"/>
    </row>
    <row r="5" spans="14:20" ht="12.75">
      <c r="N5" s="2"/>
      <c r="R5" s="2"/>
      <c r="S5" s="2"/>
      <c r="T5" s="2"/>
    </row>
    <row r="6" spans="14:20" ht="12.75">
      <c r="N6" s="2"/>
      <c r="R6" s="2"/>
      <c r="S6" s="2"/>
      <c r="T6" s="2"/>
    </row>
    <row r="7" spans="14:20" ht="12.75">
      <c r="N7" s="2"/>
      <c r="R7" s="2"/>
      <c r="S7" s="2"/>
      <c r="T7" s="2"/>
    </row>
    <row r="8" spans="3:20" ht="12.75">
      <c r="C8" s="59" t="s">
        <v>46</v>
      </c>
      <c r="D8" s="60"/>
      <c r="F8" s="57" t="s">
        <v>47</v>
      </c>
      <c r="G8" s="58"/>
      <c r="I8" s="61" t="s">
        <v>48</v>
      </c>
      <c r="J8" s="62"/>
      <c r="N8" s="2"/>
      <c r="R8" s="2"/>
      <c r="S8" s="2"/>
      <c r="T8" s="2"/>
    </row>
    <row r="9" spans="1:21" ht="12.75">
      <c r="A9" s="36" t="s">
        <v>0</v>
      </c>
      <c r="B9" s="4" t="s">
        <v>1</v>
      </c>
      <c r="C9" s="4" t="s">
        <v>45</v>
      </c>
      <c r="D9" s="4" t="s">
        <v>44</v>
      </c>
      <c r="E9" s="4" t="s">
        <v>2</v>
      </c>
      <c r="F9" s="4" t="s">
        <v>44</v>
      </c>
      <c r="G9" s="4" t="s">
        <v>45</v>
      </c>
      <c r="H9" s="4" t="s">
        <v>4</v>
      </c>
      <c r="I9" s="4" t="s">
        <v>45</v>
      </c>
      <c r="J9" s="4" t="s">
        <v>44</v>
      </c>
      <c r="K9" s="4" t="s">
        <v>5</v>
      </c>
      <c r="L9" s="36" t="s">
        <v>6</v>
      </c>
      <c r="M9" s="36" t="s">
        <v>7</v>
      </c>
      <c r="N9" s="5" t="s">
        <v>8</v>
      </c>
      <c r="O9" s="4" t="s">
        <v>9</v>
      </c>
      <c r="P9" s="4" t="s">
        <v>49</v>
      </c>
      <c r="Q9" s="4" t="s">
        <v>50</v>
      </c>
      <c r="R9" s="5" t="s">
        <v>10</v>
      </c>
      <c r="S9" s="5" t="s">
        <v>51</v>
      </c>
      <c r="T9" s="5" t="s">
        <v>52</v>
      </c>
      <c r="U9" s="7" t="s">
        <v>11</v>
      </c>
    </row>
    <row r="10" spans="1:23" ht="12.75">
      <c r="A10" s="17" t="s">
        <v>68</v>
      </c>
      <c r="B10" s="9" t="s">
        <v>53</v>
      </c>
      <c r="C10" s="9">
        <v>11</v>
      </c>
      <c r="D10" s="9">
        <v>35</v>
      </c>
      <c r="E10" s="71">
        <f>11/35</f>
        <v>0.3142857142857143</v>
      </c>
      <c r="F10" s="11">
        <v>6</v>
      </c>
      <c r="G10" s="11">
        <v>19</v>
      </c>
      <c r="H10" s="10">
        <f>6/19</f>
        <v>0.3157894736842105</v>
      </c>
      <c r="I10" s="11">
        <v>9</v>
      </c>
      <c r="J10" s="11">
        <v>17</v>
      </c>
      <c r="K10" s="10">
        <f>9/17</f>
        <v>0.5294117647058824</v>
      </c>
      <c r="L10" s="9">
        <v>20</v>
      </c>
      <c r="M10" s="9">
        <v>7</v>
      </c>
      <c r="N10" s="11">
        <v>16</v>
      </c>
      <c r="O10" s="9">
        <v>16</v>
      </c>
      <c r="P10" s="9">
        <v>25</v>
      </c>
      <c r="Q10" s="9">
        <v>22</v>
      </c>
      <c r="R10" s="72">
        <v>4</v>
      </c>
      <c r="S10" s="72">
        <v>0</v>
      </c>
      <c r="T10" s="68">
        <v>0</v>
      </c>
      <c r="U10" s="70">
        <v>32</v>
      </c>
      <c r="V10" s="1"/>
      <c r="W10" s="1"/>
    </row>
    <row r="11" spans="1:23" ht="12.75">
      <c r="A11" s="17" t="s">
        <v>69</v>
      </c>
      <c r="B11" s="9" t="s">
        <v>54</v>
      </c>
      <c r="C11" s="9">
        <v>24</v>
      </c>
      <c r="D11" s="9">
        <v>41</v>
      </c>
      <c r="E11" s="10">
        <f>24/41</f>
        <v>0.5853658536585366</v>
      </c>
      <c r="F11" s="11">
        <v>9</v>
      </c>
      <c r="G11" s="11">
        <v>20</v>
      </c>
      <c r="H11" s="10">
        <f>9/20</f>
        <v>0.45</v>
      </c>
      <c r="I11" s="11">
        <v>19</v>
      </c>
      <c r="J11" s="11">
        <v>27</v>
      </c>
      <c r="K11" s="10">
        <f>19/27</f>
        <v>0.7037037037037037</v>
      </c>
      <c r="L11" s="9">
        <v>22</v>
      </c>
      <c r="M11" s="9">
        <v>6</v>
      </c>
      <c r="N11" s="11">
        <v>19</v>
      </c>
      <c r="O11" s="9">
        <v>22</v>
      </c>
      <c r="P11" s="9">
        <v>24</v>
      </c>
      <c r="Q11" s="9">
        <v>24</v>
      </c>
      <c r="R11" s="11">
        <v>11</v>
      </c>
      <c r="S11" s="11">
        <v>4</v>
      </c>
      <c r="T11" s="11">
        <v>1</v>
      </c>
      <c r="U11" s="9">
        <v>103</v>
      </c>
      <c r="V11" s="1"/>
      <c r="W11" s="1"/>
    </row>
    <row r="12" spans="1:23" ht="12.75">
      <c r="A12" s="17" t="s">
        <v>70</v>
      </c>
      <c r="B12" s="9" t="s">
        <v>55</v>
      </c>
      <c r="C12" s="9">
        <v>16</v>
      </c>
      <c r="D12" s="9">
        <v>37</v>
      </c>
      <c r="E12" s="10">
        <f>16/37</f>
        <v>0.43243243243243246</v>
      </c>
      <c r="F12" s="11">
        <v>6</v>
      </c>
      <c r="G12" s="11">
        <v>18</v>
      </c>
      <c r="H12" s="10">
        <f>6/18</f>
        <v>0.3333333333333333</v>
      </c>
      <c r="I12" s="11">
        <v>15</v>
      </c>
      <c r="J12" s="11">
        <v>25</v>
      </c>
      <c r="K12" s="10">
        <f>15/25</f>
        <v>0.6</v>
      </c>
      <c r="L12" s="9">
        <v>21</v>
      </c>
      <c r="M12" s="13">
        <v>7</v>
      </c>
      <c r="N12" s="11">
        <v>15</v>
      </c>
      <c r="O12" s="9">
        <v>13</v>
      </c>
      <c r="P12" s="9">
        <v>30</v>
      </c>
      <c r="Q12" s="9">
        <v>24</v>
      </c>
      <c r="R12" s="11">
        <v>5</v>
      </c>
      <c r="S12" s="11">
        <v>3</v>
      </c>
      <c r="T12" s="11">
        <v>2</v>
      </c>
      <c r="U12" s="17">
        <v>48</v>
      </c>
      <c r="V12" s="1"/>
      <c r="W12" s="1"/>
    </row>
    <row r="13" spans="1:23" ht="12.75">
      <c r="A13" s="17" t="s">
        <v>71</v>
      </c>
      <c r="B13" s="13" t="s">
        <v>56</v>
      </c>
      <c r="C13" s="13">
        <v>23</v>
      </c>
      <c r="D13" s="13">
        <v>36</v>
      </c>
      <c r="E13" s="67">
        <f>23/36</f>
        <v>0.6388888888888888</v>
      </c>
      <c r="F13" s="11">
        <v>11</v>
      </c>
      <c r="G13" s="11">
        <v>26</v>
      </c>
      <c r="H13" s="10">
        <f>11/26</f>
        <v>0.4230769230769231</v>
      </c>
      <c r="I13" s="11">
        <v>19</v>
      </c>
      <c r="J13" s="11">
        <v>28</v>
      </c>
      <c r="K13" s="10">
        <f>19/28</f>
        <v>0.6785714285714286</v>
      </c>
      <c r="L13" s="9">
        <v>22</v>
      </c>
      <c r="M13" s="9">
        <v>12</v>
      </c>
      <c r="N13" s="11">
        <v>16</v>
      </c>
      <c r="O13" s="9">
        <v>20</v>
      </c>
      <c r="P13" s="9">
        <v>20</v>
      </c>
      <c r="Q13" s="9">
        <v>23</v>
      </c>
      <c r="R13" s="11">
        <v>12</v>
      </c>
      <c r="S13" s="11">
        <v>2</v>
      </c>
      <c r="T13" s="68">
        <v>0</v>
      </c>
      <c r="U13" s="69">
        <v>116</v>
      </c>
      <c r="V13" s="1"/>
      <c r="W13" s="1"/>
    </row>
    <row r="14" spans="1:23" ht="12.75">
      <c r="A14" s="17" t="s">
        <v>84</v>
      </c>
      <c r="B14" s="13" t="s">
        <v>57</v>
      </c>
      <c r="C14" s="77">
        <v>10</v>
      </c>
      <c r="D14" s="13">
        <v>36</v>
      </c>
      <c r="E14" s="10">
        <f>10/36</f>
        <v>0.2777777777777778</v>
      </c>
      <c r="F14" s="11">
        <v>7</v>
      </c>
      <c r="G14" s="11">
        <v>15</v>
      </c>
      <c r="H14" s="10">
        <f>7/15</f>
        <v>0.4666666666666667</v>
      </c>
      <c r="I14" s="11">
        <v>19</v>
      </c>
      <c r="J14" s="11">
        <v>30</v>
      </c>
      <c r="K14" s="10">
        <f>19/30</f>
        <v>0.6333333333333333</v>
      </c>
      <c r="L14" s="13">
        <v>23</v>
      </c>
      <c r="M14" s="13">
        <v>8</v>
      </c>
      <c r="N14" s="14">
        <v>16</v>
      </c>
      <c r="O14" s="13">
        <v>10</v>
      </c>
      <c r="P14" s="13">
        <v>24</v>
      </c>
      <c r="Q14" s="13">
        <v>23</v>
      </c>
      <c r="R14" s="78">
        <v>4</v>
      </c>
      <c r="S14" s="14">
        <v>4</v>
      </c>
      <c r="T14" s="14">
        <v>4</v>
      </c>
      <c r="U14" s="9">
        <v>43</v>
      </c>
      <c r="V14" s="1"/>
      <c r="W14" s="1"/>
    </row>
    <row r="15" spans="1:23" ht="12.75">
      <c r="A15" s="17" t="s">
        <v>85</v>
      </c>
      <c r="B15" s="13" t="s">
        <v>58</v>
      </c>
      <c r="C15" s="13">
        <v>15</v>
      </c>
      <c r="D15" s="13">
        <v>29</v>
      </c>
      <c r="E15" s="10">
        <f>15/29</f>
        <v>0.5172413793103449</v>
      </c>
      <c r="F15" s="11">
        <v>6</v>
      </c>
      <c r="G15" s="11">
        <v>22</v>
      </c>
      <c r="H15" s="10">
        <f>6/22</f>
        <v>0.2727272727272727</v>
      </c>
      <c r="I15" s="11">
        <v>17</v>
      </c>
      <c r="J15" s="11">
        <v>33</v>
      </c>
      <c r="K15" s="10">
        <f>17/33</f>
        <v>0.5151515151515151</v>
      </c>
      <c r="L15" s="13">
        <v>22</v>
      </c>
      <c r="M15" s="13">
        <v>8</v>
      </c>
      <c r="N15" s="14">
        <v>21</v>
      </c>
      <c r="O15" s="13">
        <v>16</v>
      </c>
      <c r="P15" s="13">
        <v>27</v>
      </c>
      <c r="Q15" s="13">
        <v>26</v>
      </c>
      <c r="R15" s="78">
        <v>4</v>
      </c>
      <c r="S15" s="14">
        <v>4</v>
      </c>
      <c r="T15" s="14">
        <v>1</v>
      </c>
      <c r="U15" s="9">
        <v>50</v>
      </c>
      <c r="V15" s="1"/>
      <c r="W15" s="1"/>
    </row>
    <row r="16" spans="1:23" ht="12.75">
      <c r="A16" s="17" t="s">
        <v>87</v>
      </c>
      <c r="B16" s="13" t="s">
        <v>59</v>
      </c>
      <c r="C16" s="13">
        <v>17</v>
      </c>
      <c r="D16" s="13">
        <v>36</v>
      </c>
      <c r="E16" s="10">
        <v>0.472</v>
      </c>
      <c r="F16" s="11">
        <v>10</v>
      </c>
      <c r="G16" s="11">
        <v>17</v>
      </c>
      <c r="H16" s="10">
        <v>0.588</v>
      </c>
      <c r="I16" s="11">
        <v>10</v>
      </c>
      <c r="J16" s="31">
        <v>16</v>
      </c>
      <c r="K16" s="10">
        <v>0.625</v>
      </c>
      <c r="L16" s="16">
        <v>28</v>
      </c>
      <c r="M16" s="13">
        <v>2</v>
      </c>
      <c r="N16" s="14">
        <v>17</v>
      </c>
      <c r="O16" s="13">
        <v>17</v>
      </c>
      <c r="P16" s="13">
        <v>21</v>
      </c>
      <c r="Q16" s="13">
        <v>22</v>
      </c>
      <c r="R16" s="42">
        <v>5</v>
      </c>
      <c r="S16" s="42">
        <v>2</v>
      </c>
      <c r="T16" s="79">
        <v>0</v>
      </c>
      <c r="U16" s="9">
        <v>80</v>
      </c>
      <c r="V16" s="1"/>
      <c r="W16" s="1"/>
    </row>
    <row r="17" spans="1:23" ht="12.75">
      <c r="A17" s="17" t="s">
        <v>88</v>
      </c>
      <c r="B17" s="13" t="s">
        <v>60</v>
      </c>
      <c r="C17" s="13">
        <v>21</v>
      </c>
      <c r="D17" s="13">
        <v>45</v>
      </c>
      <c r="E17" s="10">
        <v>0.467</v>
      </c>
      <c r="F17" s="11">
        <v>8</v>
      </c>
      <c r="G17" s="11">
        <v>22</v>
      </c>
      <c r="H17" s="10">
        <v>0.363</v>
      </c>
      <c r="I17" s="11">
        <v>21</v>
      </c>
      <c r="J17" s="11">
        <v>28</v>
      </c>
      <c r="K17" s="10">
        <v>0.75</v>
      </c>
      <c r="L17" s="13">
        <v>27</v>
      </c>
      <c r="M17" s="13">
        <v>7</v>
      </c>
      <c r="N17" s="14">
        <v>16</v>
      </c>
      <c r="O17" s="13">
        <v>17</v>
      </c>
      <c r="P17" s="13">
        <v>27</v>
      </c>
      <c r="Q17" s="13">
        <v>26</v>
      </c>
      <c r="R17" s="14">
        <v>9</v>
      </c>
      <c r="S17" s="14">
        <v>1</v>
      </c>
      <c r="T17" s="14">
        <v>1</v>
      </c>
      <c r="U17" s="9">
        <v>85</v>
      </c>
      <c r="V17" s="1"/>
      <c r="W17" s="1"/>
    </row>
    <row r="18" spans="1:23" ht="12.75">
      <c r="A18" s="17" t="s">
        <v>89</v>
      </c>
      <c r="B18" s="13" t="s">
        <v>61</v>
      </c>
      <c r="C18" s="13">
        <v>21</v>
      </c>
      <c r="D18" s="13">
        <v>40</v>
      </c>
      <c r="E18" s="10">
        <v>0.525</v>
      </c>
      <c r="F18" s="11">
        <v>8</v>
      </c>
      <c r="G18" s="72">
        <v>13</v>
      </c>
      <c r="H18" s="67">
        <v>0.615</v>
      </c>
      <c r="I18" s="11">
        <v>14</v>
      </c>
      <c r="J18" s="11">
        <v>22</v>
      </c>
      <c r="K18" s="10">
        <v>0.636</v>
      </c>
      <c r="L18" s="9">
        <v>25</v>
      </c>
      <c r="M18" s="9">
        <v>8</v>
      </c>
      <c r="N18" s="11">
        <v>21</v>
      </c>
      <c r="O18" s="9">
        <v>17</v>
      </c>
      <c r="P18" s="9">
        <v>22</v>
      </c>
      <c r="Q18" s="9">
        <v>24</v>
      </c>
      <c r="R18" s="11">
        <v>8</v>
      </c>
      <c r="S18" s="11">
        <v>3</v>
      </c>
      <c r="T18" s="11">
        <v>3</v>
      </c>
      <c r="U18" s="9">
        <v>87</v>
      </c>
      <c r="V18" s="1"/>
      <c r="W18" s="1"/>
    </row>
    <row r="19" spans="1:23" ht="12.75">
      <c r="A19" s="17" t="s">
        <v>90</v>
      </c>
      <c r="B19" s="9" t="s">
        <v>62</v>
      </c>
      <c r="C19" s="66">
        <v>27</v>
      </c>
      <c r="D19" s="66">
        <v>52</v>
      </c>
      <c r="E19" s="10">
        <v>0.519</v>
      </c>
      <c r="F19" s="11">
        <v>4</v>
      </c>
      <c r="G19" s="11">
        <v>19</v>
      </c>
      <c r="H19" s="10">
        <v>0.21</v>
      </c>
      <c r="I19" s="11">
        <v>8</v>
      </c>
      <c r="J19" s="11">
        <v>14</v>
      </c>
      <c r="K19" s="10">
        <v>0.571</v>
      </c>
      <c r="L19" s="9">
        <v>28</v>
      </c>
      <c r="M19" s="9">
        <v>7</v>
      </c>
      <c r="N19" s="80">
        <v>7</v>
      </c>
      <c r="O19" s="9">
        <v>23</v>
      </c>
      <c r="P19" s="9">
        <v>18</v>
      </c>
      <c r="Q19" s="9">
        <v>19</v>
      </c>
      <c r="R19" s="11">
        <v>9</v>
      </c>
      <c r="S19" s="11">
        <v>1</v>
      </c>
      <c r="T19" s="11">
        <v>2</v>
      </c>
      <c r="U19" s="9">
        <v>88</v>
      </c>
      <c r="V19" s="1"/>
      <c r="W19" s="1"/>
    </row>
    <row r="20" spans="1:23" ht="12.75">
      <c r="A20" s="17" t="s">
        <v>91</v>
      </c>
      <c r="B20" s="9" t="s">
        <v>63</v>
      </c>
      <c r="C20" s="9">
        <v>19</v>
      </c>
      <c r="D20" s="9">
        <v>39</v>
      </c>
      <c r="E20" s="10">
        <f>19/39</f>
        <v>0.48717948717948717</v>
      </c>
      <c r="F20" s="11">
        <v>7</v>
      </c>
      <c r="G20" s="11">
        <v>21</v>
      </c>
      <c r="H20" s="10">
        <f>7/21</f>
        <v>0.3333333333333333</v>
      </c>
      <c r="I20" s="11">
        <v>12</v>
      </c>
      <c r="J20" s="11">
        <v>25</v>
      </c>
      <c r="K20" s="10">
        <f>12/25</f>
        <v>0.48</v>
      </c>
      <c r="L20" s="70">
        <v>18</v>
      </c>
      <c r="M20" s="9">
        <v>9</v>
      </c>
      <c r="N20" s="11">
        <v>19</v>
      </c>
      <c r="O20" s="9">
        <v>18</v>
      </c>
      <c r="P20" s="70">
        <v>31</v>
      </c>
      <c r="Q20" s="9">
        <v>24</v>
      </c>
      <c r="R20" s="11">
        <v>5</v>
      </c>
      <c r="S20" s="11">
        <v>1</v>
      </c>
      <c r="T20" s="11">
        <v>2</v>
      </c>
      <c r="U20" s="9">
        <v>47</v>
      </c>
      <c r="V20" s="1"/>
      <c r="W20" s="1"/>
    </row>
    <row r="21" spans="1:23" ht="12.75">
      <c r="A21" s="17" t="s">
        <v>92</v>
      </c>
      <c r="B21" s="9" t="s">
        <v>64</v>
      </c>
      <c r="C21" s="9">
        <v>18</v>
      </c>
      <c r="D21" s="9">
        <v>39</v>
      </c>
      <c r="E21" s="10">
        <f>18/39</f>
        <v>0.46153846153846156</v>
      </c>
      <c r="F21" s="11">
        <v>6</v>
      </c>
      <c r="G21" s="11">
        <v>23</v>
      </c>
      <c r="H21" s="10">
        <f>6/23</f>
        <v>0.2608695652173913</v>
      </c>
      <c r="I21" s="11">
        <v>13</v>
      </c>
      <c r="J21" s="11">
        <v>24</v>
      </c>
      <c r="K21" s="10">
        <f>13/24</f>
        <v>0.5416666666666666</v>
      </c>
      <c r="L21" s="9">
        <v>23</v>
      </c>
      <c r="M21" s="9">
        <v>10</v>
      </c>
      <c r="N21" s="11">
        <v>14</v>
      </c>
      <c r="O21" s="9">
        <v>23</v>
      </c>
      <c r="P21" s="9">
        <v>23</v>
      </c>
      <c r="Q21" s="9">
        <v>21</v>
      </c>
      <c r="R21" s="11">
        <v>7</v>
      </c>
      <c r="S21" s="11">
        <v>1</v>
      </c>
      <c r="T21" s="11">
        <v>1</v>
      </c>
      <c r="U21" s="9">
        <v>65</v>
      </c>
      <c r="V21" s="1"/>
      <c r="W21" s="1"/>
    </row>
    <row r="22" spans="1:23" ht="12.75">
      <c r="A22" s="17" t="s">
        <v>93</v>
      </c>
      <c r="B22" s="9" t="s">
        <v>65</v>
      </c>
      <c r="C22" s="9">
        <v>18</v>
      </c>
      <c r="D22" s="9">
        <v>33</v>
      </c>
      <c r="E22" s="10">
        <f>18/33</f>
        <v>0.5454545454545454</v>
      </c>
      <c r="F22" s="11">
        <v>8</v>
      </c>
      <c r="G22" s="11">
        <v>24</v>
      </c>
      <c r="H22" s="10">
        <f>8/24</f>
        <v>0.3333333333333333</v>
      </c>
      <c r="I22" s="11">
        <v>10</v>
      </c>
      <c r="J22" s="11">
        <v>15</v>
      </c>
      <c r="K22" s="10">
        <f>10/15</f>
        <v>0.6666666666666666</v>
      </c>
      <c r="L22" s="9">
        <v>21</v>
      </c>
      <c r="M22" s="9">
        <v>7</v>
      </c>
      <c r="N22" s="11">
        <v>20</v>
      </c>
      <c r="O22" s="9">
        <v>15</v>
      </c>
      <c r="P22" s="9">
        <v>22</v>
      </c>
      <c r="Q22" s="9">
        <v>15</v>
      </c>
      <c r="R22" s="11">
        <v>5</v>
      </c>
      <c r="S22" s="11">
        <v>2</v>
      </c>
      <c r="T22" s="11">
        <v>1</v>
      </c>
      <c r="U22" s="9">
        <v>57</v>
      </c>
      <c r="V22" s="1"/>
      <c r="W22" s="1"/>
    </row>
    <row r="23" spans="1:23" ht="12.75">
      <c r="A23" s="17" t="s">
        <v>94</v>
      </c>
      <c r="B23" s="9" t="s">
        <v>66</v>
      </c>
      <c r="C23" s="9">
        <v>16</v>
      </c>
      <c r="D23" s="9">
        <v>42</v>
      </c>
      <c r="E23" s="10">
        <f>16/42</f>
        <v>0.38095238095238093</v>
      </c>
      <c r="F23" s="11">
        <v>5</v>
      </c>
      <c r="G23" s="11">
        <v>18</v>
      </c>
      <c r="H23" s="10">
        <f>5/18</f>
        <v>0.2777777777777778</v>
      </c>
      <c r="I23" s="11">
        <v>10</v>
      </c>
      <c r="J23" s="11">
        <v>18</v>
      </c>
      <c r="K23" s="10">
        <f>10/18</f>
        <v>0.5555555555555556</v>
      </c>
      <c r="L23" s="9">
        <v>22</v>
      </c>
      <c r="M23" s="9">
        <v>3</v>
      </c>
      <c r="N23" s="11">
        <v>16</v>
      </c>
      <c r="O23" s="9">
        <v>20</v>
      </c>
      <c r="P23" s="9">
        <v>24</v>
      </c>
      <c r="Q23" s="9">
        <v>19</v>
      </c>
      <c r="R23" s="11">
        <v>6</v>
      </c>
      <c r="S23" s="11">
        <v>3</v>
      </c>
      <c r="T23" s="11">
        <v>2</v>
      </c>
      <c r="U23" s="9">
        <v>41</v>
      </c>
      <c r="V23" s="1"/>
      <c r="W23" s="1"/>
    </row>
    <row r="24" spans="1:23" ht="12.75">
      <c r="A24" s="17" t="s">
        <v>95</v>
      </c>
      <c r="B24" s="13" t="s">
        <v>67</v>
      </c>
      <c r="C24" s="13">
        <v>19</v>
      </c>
      <c r="D24" s="13">
        <v>47</v>
      </c>
      <c r="E24" s="10">
        <f>19/47</f>
        <v>0.40425531914893614</v>
      </c>
      <c r="F24" s="11">
        <v>7</v>
      </c>
      <c r="G24" s="11">
        <v>18</v>
      </c>
      <c r="H24" s="10">
        <f>7/18</f>
        <v>0.3888888888888889</v>
      </c>
      <c r="I24" s="11">
        <v>14</v>
      </c>
      <c r="J24" s="11">
        <v>20</v>
      </c>
      <c r="K24" s="10">
        <f>14/20</f>
        <v>0.7</v>
      </c>
      <c r="L24" s="9">
        <v>28</v>
      </c>
      <c r="M24" s="66">
        <v>16</v>
      </c>
      <c r="N24" s="11">
        <v>23</v>
      </c>
      <c r="O24" s="66">
        <v>31</v>
      </c>
      <c r="P24" s="66">
        <v>15</v>
      </c>
      <c r="Q24" s="9">
        <v>19</v>
      </c>
      <c r="R24" s="11">
        <v>10</v>
      </c>
      <c r="S24" s="68">
        <v>6</v>
      </c>
      <c r="T24" s="11">
        <v>3</v>
      </c>
      <c r="U24" s="9">
        <v>97</v>
      </c>
      <c r="V24" s="1"/>
      <c r="W24" s="1"/>
    </row>
    <row r="25" spans="1:23" ht="12.75">
      <c r="A25" s="17" t="s">
        <v>99</v>
      </c>
      <c r="B25" s="9" t="s">
        <v>53</v>
      </c>
      <c r="C25" s="13">
        <v>19</v>
      </c>
      <c r="D25" s="13">
        <v>45</v>
      </c>
      <c r="E25" s="10">
        <f>19/46</f>
        <v>0.41304347826086957</v>
      </c>
      <c r="F25" s="11">
        <v>12</v>
      </c>
      <c r="G25" s="68">
        <v>33</v>
      </c>
      <c r="H25" s="10">
        <f>12/33</f>
        <v>0.36363636363636365</v>
      </c>
      <c r="I25" s="11">
        <v>21</v>
      </c>
      <c r="J25" s="11">
        <v>31</v>
      </c>
      <c r="K25" s="10">
        <f>21/31</f>
        <v>0.6774193548387096</v>
      </c>
      <c r="L25" s="70">
        <v>18</v>
      </c>
      <c r="M25" s="9">
        <v>9</v>
      </c>
      <c r="N25" s="11">
        <v>12</v>
      </c>
      <c r="O25" s="9">
        <v>24</v>
      </c>
      <c r="P25" s="70">
        <v>31</v>
      </c>
      <c r="Q25" s="9">
        <v>27</v>
      </c>
      <c r="R25" s="11">
        <v>7</v>
      </c>
      <c r="S25" s="11">
        <v>2</v>
      </c>
      <c r="T25" s="11">
        <v>2</v>
      </c>
      <c r="U25" s="9">
        <v>79</v>
      </c>
      <c r="V25" s="1"/>
      <c r="W25" s="1"/>
    </row>
    <row r="26" spans="1:23" ht="12.75">
      <c r="A26" s="17" t="s">
        <v>100</v>
      </c>
      <c r="B26" s="9" t="s">
        <v>54</v>
      </c>
      <c r="C26" s="13">
        <v>18</v>
      </c>
      <c r="D26" s="13">
        <v>41</v>
      </c>
      <c r="E26" s="10">
        <f>18/41</f>
        <v>0.43902439024390244</v>
      </c>
      <c r="F26" s="11">
        <v>7</v>
      </c>
      <c r="G26" s="11">
        <v>20</v>
      </c>
      <c r="H26" s="10">
        <f>7/20</f>
        <v>0.35</v>
      </c>
      <c r="I26" s="11">
        <v>18</v>
      </c>
      <c r="J26" s="11">
        <v>29</v>
      </c>
      <c r="K26" s="10">
        <f>18/29</f>
        <v>0.6206896551724138</v>
      </c>
      <c r="L26" s="9">
        <v>26</v>
      </c>
      <c r="M26" s="9">
        <v>9</v>
      </c>
      <c r="N26" s="11">
        <v>14</v>
      </c>
      <c r="O26" s="9">
        <v>27</v>
      </c>
      <c r="P26" s="9">
        <v>24</v>
      </c>
      <c r="Q26" s="9">
        <v>24</v>
      </c>
      <c r="R26" s="11">
        <v>6</v>
      </c>
      <c r="S26" s="11">
        <v>4</v>
      </c>
      <c r="T26" s="11">
        <v>1</v>
      </c>
      <c r="U26" s="9">
        <v>85</v>
      </c>
      <c r="V26" s="1"/>
      <c r="W26" s="1"/>
    </row>
    <row r="27" spans="1:23" ht="12.75">
      <c r="A27" s="17" t="s">
        <v>101</v>
      </c>
      <c r="B27" s="9" t="s">
        <v>55</v>
      </c>
      <c r="C27" s="13">
        <v>16</v>
      </c>
      <c r="D27" s="13">
        <v>34</v>
      </c>
      <c r="E27" s="10">
        <f>16/34</f>
        <v>0.47058823529411764</v>
      </c>
      <c r="F27" s="11">
        <v>7</v>
      </c>
      <c r="G27" s="11">
        <v>20</v>
      </c>
      <c r="H27" s="10">
        <f>7/20</f>
        <v>0.35</v>
      </c>
      <c r="I27" s="11">
        <v>10</v>
      </c>
      <c r="J27" s="11">
        <v>19</v>
      </c>
      <c r="K27" s="10">
        <f>10/19</f>
        <v>0.5263157894736842</v>
      </c>
      <c r="L27" s="66">
        <v>33</v>
      </c>
      <c r="M27" s="9">
        <v>9</v>
      </c>
      <c r="N27" s="11">
        <v>19</v>
      </c>
      <c r="O27" s="9">
        <v>16</v>
      </c>
      <c r="P27" s="9">
        <v>20</v>
      </c>
      <c r="Q27" s="9">
        <v>21</v>
      </c>
      <c r="R27" s="68">
        <v>13</v>
      </c>
      <c r="S27" s="11">
        <v>4</v>
      </c>
      <c r="T27" s="11">
        <v>1</v>
      </c>
      <c r="U27" s="9">
        <v>79</v>
      </c>
      <c r="V27" s="1"/>
      <c r="W27" s="1"/>
    </row>
    <row r="28" spans="1:23" ht="12.75">
      <c r="A28" s="16" t="s">
        <v>103</v>
      </c>
      <c r="B28" s="13" t="s">
        <v>56</v>
      </c>
      <c r="C28" s="13">
        <v>22</v>
      </c>
      <c r="D28" s="13">
        <v>51</v>
      </c>
      <c r="E28" s="18">
        <f>22/51</f>
        <v>0.43137254901960786</v>
      </c>
      <c r="F28" s="14">
        <v>10</v>
      </c>
      <c r="G28" s="14">
        <v>27</v>
      </c>
      <c r="H28" s="18">
        <f>10/27</f>
        <v>0.37037037037037035</v>
      </c>
      <c r="I28" s="14">
        <v>11</v>
      </c>
      <c r="J28" s="14">
        <v>16</v>
      </c>
      <c r="K28" s="18">
        <f>11/16</f>
        <v>0.6875</v>
      </c>
      <c r="L28" s="13">
        <v>21</v>
      </c>
      <c r="M28" s="13">
        <v>14</v>
      </c>
      <c r="N28" s="14">
        <v>14</v>
      </c>
      <c r="O28" s="13">
        <v>27</v>
      </c>
      <c r="P28" s="13">
        <v>23</v>
      </c>
      <c r="Q28" s="13">
        <v>14</v>
      </c>
      <c r="R28" s="14">
        <v>7</v>
      </c>
      <c r="S28" s="14">
        <v>3</v>
      </c>
      <c r="T28" s="14">
        <v>1</v>
      </c>
      <c r="U28" s="9">
        <v>82</v>
      </c>
      <c r="V28" s="1"/>
      <c r="W28" s="1"/>
    </row>
    <row r="29" spans="1:23" ht="12.75">
      <c r="A29" s="16" t="s">
        <v>104</v>
      </c>
      <c r="B29" s="13" t="s">
        <v>57</v>
      </c>
      <c r="C29" s="13">
        <v>22</v>
      </c>
      <c r="D29" s="13">
        <v>41</v>
      </c>
      <c r="E29" s="18">
        <f>22/41</f>
        <v>0.5365853658536586</v>
      </c>
      <c r="F29" s="14">
        <v>5</v>
      </c>
      <c r="G29" s="14">
        <v>30</v>
      </c>
      <c r="H29" s="18">
        <f>5/30</f>
        <v>0.16666666666666666</v>
      </c>
      <c r="I29" s="14">
        <v>17</v>
      </c>
      <c r="J29" s="14">
        <v>28</v>
      </c>
      <c r="K29" s="18">
        <f>17/28</f>
        <v>0.6071428571428571</v>
      </c>
      <c r="L29" s="77">
        <v>18</v>
      </c>
      <c r="M29" s="69">
        <v>16</v>
      </c>
      <c r="N29" s="14">
        <v>14</v>
      </c>
      <c r="O29" s="13">
        <v>25</v>
      </c>
      <c r="P29" s="13">
        <v>27</v>
      </c>
      <c r="Q29" s="13">
        <v>24</v>
      </c>
      <c r="R29" s="14">
        <v>12</v>
      </c>
      <c r="S29" s="78">
        <v>0</v>
      </c>
      <c r="T29" s="14">
        <v>2</v>
      </c>
      <c r="U29" s="9">
        <v>73</v>
      </c>
      <c r="V29" s="1"/>
      <c r="W29" s="1"/>
    </row>
    <row r="30" spans="1:23" ht="12.75">
      <c r="A30" s="16" t="s">
        <v>105</v>
      </c>
      <c r="B30" s="13" t="s">
        <v>58</v>
      </c>
      <c r="C30" s="9">
        <v>15</v>
      </c>
      <c r="D30" s="9">
        <v>31</v>
      </c>
      <c r="E30" s="18">
        <f>15/31</f>
        <v>0.4838709677419355</v>
      </c>
      <c r="F30" s="14">
        <v>10</v>
      </c>
      <c r="G30" s="14">
        <v>28</v>
      </c>
      <c r="H30" s="18">
        <f>10/28</f>
        <v>0.35714285714285715</v>
      </c>
      <c r="I30" s="14">
        <v>12</v>
      </c>
      <c r="J30" s="14">
        <v>13</v>
      </c>
      <c r="K30" s="82">
        <f>12/13</f>
        <v>0.9230769230769231</v>
      </c>
      <c r="L30" s="13">
        <v>24</v>
      </c>
      <c r="M30" s="13">
        <v>6</v>
      </c>
      <c r="N30" s="14">
        <v>15</v>
      </c>
      <c r="O30" s="13">
        <v>19</v>
      </c>
      <c r="P30" s="13">
        <v>29</v>
      </c>
      <c r="Q30" s="13">
        <v>19</v>
      </c>
      <c r="R30" s="14">
        <v>7</v>
      </c>
      <c r="S30" s="78">
        <v>0</v>
      </c>
      <c r="T30" s="83">
        <v>0</v>
      </c>
      <c r="U30" s="9">
        <v>68</v>
      </c>
      <c r="V30" s="1"/>
      <c r="W30" s="1"/>
    </row>
    <row r="31" spans="1:23" ht="12.75">
      <c r="A31" s="16" t="s">
        <v>107</v>
      </c>
      <c r="B31" s="13" t="s">
        <v>59</v>
      </c>
      <c r="C31" s="9">
        <v>18</v>
      </c>
      <c r="D31" s="9">
        <v>37</v>
      </c>
      <c r="E31" s="18">
        <f>18/37</f>
        <v>0.4864864864864865</v>
      </c>
      <c r="F31" s="14">
        <v>10</v>
      </c>
      <c r="G31" s="14">
        <v>21</v>
      </c>
      <c r="H31" s="18">
        <f>10/21</f>
        <v>0.47619047619047616</v>
      </c>
      <c r="I31" s="78">
        <v>2</v>
      </c>
      <c r="J31" s="78">
        <v>6</v>
      </c>
      <c r="K31" s="81">
        <f>2/6</f>
        <v>0.3333333333333333</v>
      </c>
      <c r="L31" s="13">
        <v>23</v>
      </c>
      <c r="M31" s="13">
        <v>6</v>
      </c>
      <c r="N31" s="83">
        <v>7</v>
      </c>
      <c r="O31" s="13">
        <v>13</v>
      </c>
      <c r="P31" s="69">
        <v>15</v>
      </c>
      <c r="Q31" s="77">
        <v>12</v>
      </c>
      <c r="R31" s="14">
        <v>9</v>
      </c>
      <c r="S31" s="14">
        <v>1</v>
      </c>
      <c r="T31" s="14">
        <v>3</v>
      </c>
      <c r="U31" s="9">
        <v>73</v>
      </c>
      <c r="V31" s="1"/>
      <c r="W31" s="1"/>
    </row>
    <row r="32" spans="1:23" ht="12.75">
      <c r="A32" s="16" t="s">
        <v>108</v>
      </c>
      <c r="B32" s="13" t="s">
        <v>60</v>
      </c>
      <c r="C32" s="13">
        <v>16</v>
      </c>
      <c r="D32" s="13">
        <v>38</v>
      </c>
      <c r="E32" s="18">
        <f>16/38</f>
        <v>0.42105263157894735</v>
      </c>
      <c r="F32" s="14">
        <v>6</v>
      </c>
      <c r="G32" s="14">
        <v>22</v>
      </c>
      <c r="H32" s="18">
        <f>6/22</f>
        <v>0.2727272727272727</v>
      </c>
      <c r="I32" s="14">
        <v>20</v>
      </c>
      <c r="J32" s="14">
        <v>29</v>
      </c>
      <c r="K32" s="27">
        <f>20/29</f>
        <v>0.6896551724137931</v>
      </c>
      <c r="L32" s="13">
        <v>20</v>
      </c>
      <c r="M32" s="13">
        <v>11</v>
      </c>
      <c r="N32" s="14">
        <v>14</v>
      </c>
      <c r="O32" s="13">
        <v>25</v>
      </c>
      <c r="P32" s="13">
        <v>18</v>
      </c>
      <c r="Q32" s="13">
        <v>17</v>
      </c>
      <c r="R32" s="14">
        <v>7</v>
      </c>
      <c r="S32" s="83">
        <v>6</v>
      </c>
      <c r="T32" s="14">
        <v>3</v>
      </c>
      <c r="U32" s="9">
        <v>80</v>
      </c>
      <c r="V32" s="1"/>
      <c r="W32" s="1"/>
    </row>
    <row r="33" spans="1:23" ht="12.75">
      <c r="A33" s="16" t="s">
        <v>109</v>
      </c>
      <c r="B33" s="13" t="s">
        <v>61</v>
      </c>
      <c r="C33" s="13">
        <v>15</v>
      </c>
      <c r="D33" s="13">
        <v>31</v>
      </c>
      <c r="E33" s="18">
        <f>15/31</f>
        <v>0.4838709677419355</v>
      </c>
      <c r="F33" s="14">
        <v>8</v>
      </c>
      <c r="G33" s="14">
        <v>19</v>
      </c>
      <c r="H33" s="18">
        <f>8/19</f>
        <v>0.42105263157894735</v>
      </c>
      <c r="I33" s="14">
        <v>9</v>
      </c>
      <c r="J33" s="14">
        <v>14</v>
      </c>
      <c r="K33" s="27">
        <f>9/14</f>
        <v>0.6428571428571429</v>
      </c>
      <c r="L33" s="13">
        <v>32</v>
      </c>
      <c r="M33" s="77">
        <v>1</v>
      </c>
      <c r="N33" s="14">
        <v>23</v>
      </c>
      <c r="O33" s="13">
        <v>23</v>
      </c>
      <c r="P33" s="13">
        <v>16</v>
      </c>
      <c r="Q33" s="13">
        <v>14</v>
      </c>
      <c r="R33" s="14">
        <v>10</v>
      </c>
      <c r="S33" s="14">
        <v>4</v>
      </c>
      <c r="T33" s="78">
        <v>4</v>
      </c>
      <c r="U33" s="9">
        <v>72</v>
      </c>
      <c r="V33" s="1"/>
      <c r="W33" s="1"/>
    </row>
    <row r="34" spans="1:23" ht="12.75">
      <c r="A34" s="16" t="s">
        <v>111</v>
      </c>
      <c r="B34" s="9" t="s">
        <v>62</v>
      </c>
      <c r="C34" s="13">
        <v>20</v>
      </c>
      <c r="D34" s="13">
        <v>37</v>
      </c>
      <c r="E34" s="18">
        <f>20/37</f>
        <v>0.5405405405405406</v>
      </c>
      <c r="F34" s="14">
        <v>8</v>
      </c>
      <c r="G34" s="14">
        <v>20</v>
      </c>
      <c r="H34" s="18">
        <f>8/20</f>
        <v>0.4</v>
      </c>
      <c r="I34" s="14">
        <v>21</v>
      </c>
      <c r="J34" s="14">
        <v>32</v>
      </c>
      <c r="K34" s="27">
        <f>21/32</f>
        <v>0.65625</v>
      </c>
      <c r="L34" s="13">
        <v>25</v>
      </c>
      <c r="M34" s="13">
        <v>13</v>
      </c>
      <c r="N34" s="14">
        <v>17</v>
      </c>
      <c r="O34" s="13">
        <v>16</v>
      </c>
      <c r="P34" s="13">
        <v>22</v>
      </c>
      <c r="Q34" s="13">
        <v>26</v>
      </c>
      <c r="R34" s="14">
        <v>6</v>
      </c>
      <c r="S34" s="14">
        <v>4</v>
      </c>
      <c r="T34" s="14">
        <v>1</v>
      </c>
      <c r="U34" s="9">
        <v>96</v>
      </c>
      <c r="V34" s="1"/>
      <c r="W34" s="1"/>
    </row>
    <row r="35" spans="1:23" ht="12.75">
      <c r="A35" s="16" t="s">
        <v>112</v>
      </c>
      <c r="B35" s="9" t="s">
        <v>63</v>
      </c>
      <c r="C35" s="77">
        <v>10</v>
      </c>
      <c r="D35" s="77">
        <v>28</v>
      </c>
      <c r="E35" s="18">
        <f>10/28</f>
        <v>0.35714285714285715</v>
      </c>
      <c r="F35" s="83">
        <v>14</v>
      </c>
      <c r="G35" s="14">
        <v>28</v>
      </c>
      <c r="H35" s="18">
        <f>14/28</f>
        <v>0.5</v>
      </c>
      <c r="I35" s="14">
        <v>13</v>
      </c>
      <c r="J35" s="14">
        <v>22</v>
      </c>
      <c r="K35" s="18">
        <f>13/22</f>
        <v>0.5909090909090909</v>
      </c>
      <c r="L35" s="13">
        <v>21</v>
      </c>
      <c r="M35" s="13">
        <v>10</v>
      </c>
      <c r="N35" s="14">
        <v>23</v>
      </c>
      <c r="O35" s="13">
        <v>24</v>
      </c>
      <c r="P35" s="13">
        <v>23</v>
      </c>
      <c r="Q35" s="13">
        <v>20</v>
      </c>
      <c r="R35" s="14">
        <v>10</v>
      </c>
      <c r="S35" s="14">
        <v>2</v>
      </c>
      <c r="T35" s="78">
        <v>4</v>
      </c>
      <c r="U35" s="9">
        <v>71</v>
      </c>
      <c r="V35" s="1"/>
      <c r="W35" s="1"/>
    </row>
    <row r="36" spans="1:23" ht="12.75">
      <c r="A36" s="17" t="s">
        <v>113</v>
      </c>
      <c r="B36" s="9" t="s">
        <v>64</v>
      </c>
      <c r="C36" s="13">
        <v>16</v>
      </c>
      <c r="D36" s="13">
        <v>36</v>
      </c>
      <c r="E36" s="41">
        <f>16/36</f>
        <v>0.4444444444444444</v>
      </c>
      <c r="F36" s="31">
        <v>10</v>
      </c>
      <c r="G36" s="31">
        <v>27</v>
      </c>
      <c r="H36" s="10">
        <f>10/27</f>
        <v>0.37037037037037035</v>
      </c>
      <c r="I36" s="11">
        <v>15</v>
      </c>
      <c r="J36" s="11">
        <v>21</v>
      </c>
      <c r="K36" s="10">
        <f>15/21</f>
        <v>0.7142857142857143</v>
      </c>
      <c r="L36" s="9">
        <v>22</v>
      </c>
      <c r="M36" s="9">
        <v>11</v>
      </c>
      <c r="N36" s="11">
        <v>13</v>
      </c>
      <c r="O36" s="9">
        <v>21</v>
      </c>
      <c r="P36" s="9">
        <v>20</v>
      </c>
      <c r="Q36" s="9">
        <v>23</v>
      </c>
      <c r="R36" s="11">
        <v>7</v>
      </c>
      <c r="S36" s="11">
        <v>3</v>
      </c>
      <c r="T36" s="68">
        <v>0</v>
      </c>
      <c r="U36" s="9">
        <v>88</v>
      </c>
      <c r="V36" s="1"/>
      <c r="W36" s="1"/>
    </row>
    <row r="37" spans="1:23" ht="12.75">
      <c r="A37" s="17" t="s">
        <v>119</v>
      </c>
      <c r="B37" s="9" t="s">
        <v>65</v>
      </c>
      <c r="C37" s="47">
        <v>18</v>
      </c>
      <c r="D37" s="47">
        <v>36</v>
      </c>
      <c r="E37" s="10">
        <v>0.5</v>
      </c>
      <c r="F37" s="11">
        <v>10</v>
      </c>
      <c r="G37" s="11">
        <v>21</v>
      </c>
      <c r="H37" s="10">
        <v>0.476</v>
      </c>
      <c r="I37" s="11">
        <v>11</v>
      </c>
      <c r="J37" s="11">
        <v>16</v>
      </c>
      <c r="K37" s="10">
        <v>0.688</v>
      </c>
      <c r="L37" s="9">
        <v>27</v>
      </c>
      <c r="M37" s="9">
        <v>6</v>
      </c>
      <c r="N37" s="11">
        <v>21</v>
      </c>
      <c r="O37" s="9">
        <v>21</v>
      </c>
      <c r="P37" s="9">
        <v>25</v>
      </c>
      <c r="Q37" s="9">
        <v>18</v>
      </c>
      <c r="R37" s="11">
        <v>9</v>
      </c>
      <c r="S37" s="11">
        <v>5</v>
      </c>
      <c r="T37" s="80">
        <v>0</v>
      </c>
      <c r="U37" s="9">
        <v>83</v>
      </c>
      <c r="V37" s="1"/>
      <c r="W37" s="1"/>
    </row>
    <row r="38" spans="1:23" ht="12.75">
      <c r="A38" s="17" t="s">
        <v>120</v>
      </c>
      <c r="B38" s="9" t="s">
        <v>66</v>
      </c>
      <c r="C38" s="47">
        <v>13</v>
      </c>
      <c r="D38" s="47">
        <v>35</v>
      </c>
      <c r="E38" s="10">
        <v>0.371</v>
      </c>
      <c r="F38" s="11">
        <v>7</v>
      </c>
      <c r="G38" s="11">
        <v>25</v>
      </c>
      <c r="H38" s="10">
        <v>0.28</v>
      </c>
      <c r="I38" s="68">
        <v>29</v>
      </c>
      <c r="J38" s="68">
        <v>43</v>
      </c>
      <c r="K38" s="10">
        <v>0.674</v>
      </c>
      <c r="L38" s="9">
        <v>32</v>
      </c>
      <c r="M38" s="9">
        <v>11</v>
      </c>
      <c r="N38" s="72">
        <v>24</v>
      </c>
      <c r="O38" s="17">
        <v>17</v>
      </c>
      <c r="P38" s="17">
        <v>26</v>
      </c>
      <c r="Q38" s="17">
        <v>25</v>
      </c>
      <c r="R38" s="11">
        <v>6</v>
      </c>
      <c r="S38" s="11">
        <v>3</v>
      </c>
      <c r="T38" s="11">
        <v>1</v>
      </c>
      <c r="U38" s="9">
        <v>65</v>
      </c>
      <c r="V38" s="1"/>
      <c r="W38" s="1"/>
    </row>
    <row r="39" spans="1:23" ht="12.75">
      <c r="A39" s="17" t="s">
        <v>121</v>
      </c>
      <c r="B39" s="13" t="s">
        <v>67</v>
      </c>
      <c r="C39" s="47">
        <v>16</v>
      </c>
      <c r="D39" s="47">
        <v>42</v>
      </c>
      <c r="E39" s="10">
        <v>0.38</v>
      </c>
      <c r="F39" s="72">
        <v>2</v>
      </c>
      <c r="G39" s="72">
        <v>13</v>
      </c>
      <c r="H39" s="71">
        <v>0.154</v>
      </c>
      <c r="I39" s="11">
        <v>28</v>
      </c>
      <c r="J39" s="11">
        <v>38</v>
      </c>
      <c r="K39" s="10">
        <v>0.737</v>
      </c>
      <c r="L39" s="9">
        <v>28</v>
      </c>
      <c r="M39" s="9">
        <v>11</v>
      </c>
      <c r="N39" s="11">
        <v>20</v>
      </c>
      <c r="O39" s="9">
        <v>18</v>
      </c>
      <c r="P39" s="9">
        <v>25</v>
      </c>
      <c r="Q39" s="66">
        <v>28</v>
      </c>
      <c r="R39" s="72">
        <v>4</v>
      </c>
      <c r="S39" s="11">
        <v>3</v>
      </c>
      <c r="T39" s="11">
        <v>2</v>
      </c>
      <c r="U39" s="9">
        <v>64</v>
      </c>
      <c r="V39" s="1"/>
      <c r="W39" s="1"/>
    </row>
    <row r="40" spans="1:23" ht="12.75">
      <c r="A40" s="84" t="s">
        <v>122</v>
      </c>
      <c r="B40" s="13" t="s">
        <v>118</v>
      </c>
      <c r="C40" s="47">
        <v>16</v>
      </c>
      <c r="D40" s="47">
        <v>36</v>
      </c>
      <c r="E40" s="10">
        <v>0.444</v>
      </c>
      <c r="F40" s="11">
        <v>9</v>
      </c>
      <c r="G40" s="11">
        <v>28</v>
      </c>
      <c r="H40" s="10">
        <v>0.321</v>
      </c>
      <c r="I40" s="11">
        <v>16</v>
      </c>
      <c r="J40" s="11">
        <v>22</v>
      </c>
      <c r="K40" s="10">
        <v>0.727</v>
      </c>
      <c r="L40" s="9">
        <v>24</v>
      </c>
      <c r="M40" s="9">
        <v>8</v>
      </c>
      <c r="N40" s="11">
        <v>12</v>
      </c>
      <c r="O40" s="9">
        <v>23</v>
      </c>
      <c r="P40" s="9">
        <v>22</v>
      </c>
      <c r="Q40" s="9">
        <v>24</v>
      </c>
      <c r="R40" s="11">
        <v>12</v>
      </c>
      <c r="S40" s="11">
        <v>3</v>
      </c>
      <c r="T40" s="11">
        <v>1</v>
      </c>
      <c r="U40" s="9">
        <v>89</v>
      </c>
      <c r="V40" s="1"/>
      <c r="W40" s="1"/>
    </row>
    <row r="41" spans="1:23" ht="12.75">
      <c r="A41" s="84" t="s">
        <v>123</v>
      </c>
      <c r="B41" s="13" t="s">
        <v>118</v>
      </c>
      <c r="C41" s="47">
        <v>12</v>
      </c>
      <c r="D41" s="47">
        <v>32</v>
      </c>
      <c r="E41" s="10">
        <v>0.375</v>
      </c>
      <c r="F41" s="11">
        <v>8</v>
      </c>
      <c r="G41" s="11">
        <v>23</v>
      </c>
      <c r="H41" s="10">
        <v>0.348</v>
      </c>
      <c r="I41" s="11">
        <v>15</v>
      </c>
      <c r="J41" s="11">
        <v>30</v>
      </c>
      <c r="K41" s="10">
        <v>0.5</v>
      </c>
      <c r="L41" s="9">
        <v>19</v>
      </c>
      <c r="M41" s="9">
        <v>7</v>
      </c>
      <c r="N41" s="11">
        <v>14</v>
      </c>
      <c r="O41" s="70">
        <v>11</v>
      </c>
      <c r="P41" s="9">
        <v>23</v>
      </c>
      <c r="Q41" s="9">
        <v>26</v>
      </c>
      <c r="R41" s="72">
        <v>4</v>
      </c>
      <c r="S41" s="11">
        <v>1</v>
      </c>
      <c r="T41" s="11">
        <v>1</v>
      </c>
      <c r="U41" s="9">
        <v>43</v>
      </c>
      <c r="V41" s="1"/>
      <c r="W41" s="1"/>
    </row>
    <row r="42" spans="1:21" ht="12.75">
      <c r="A42" s="9"/>
      <c r="B42" s="44"/>
      <c r="C42" s="44"/>
      <c r="D42" s="44"/>
      <c r="E42" s="10"/>
      <c r="F42" s="11"/>
      <c r="G42" s="11"/>
      <c r="H42" s="10"/>
      <c r="I42" s="11"/>
      <c r="J42" s="11"/>
      <c r="K42" s="10"/>
      <c r="L42" s="9"/>
      <c r="M42" s="9"/>
      <c r="N42" s="11"/>
      <c r="O42" s="9"/>
      <c r="P42" s="9"/>
      <c r="Q42" s="9"/>
      <c r="R42" s="11"/>
      <c r="S42" s="11"/>
      <c r="T42" s="11"/>
      <c r="U42" s="9"/>
    </row>
    <row r="43" spans="1:22" ht="12.75">
      <c r="A43" s="37" t="s">
        <v>41</v>
      </c>
      <c r="B43" s="44" t="s">
        <v>124</v>
      </c>
      <c r="C43" s="44">
        <v>557</v>
      </c>
      <c r="D43" s="44">
        <v>1218</v>
      </c>
      <c r="E43" s="43">
        <f>557/1218</f>
        <v>0.4573070607553366</v>
      </c>
      <c r="F43" s="63">
        <v>251</v>
      </c>
      <c r="G43" s="63">
        <v>700</v>
      </c>
      <c r="H43" s="43">
        <f>251/700</f>
        <v>0.3585714285714286</v>
      </c>
      <c r="I43" s="63">
        <v>478</v>
      </c>
      <c r="J43" s="63">
        <v>751</v>
      </c>
      <c r="K43" s="43">
        <f>478/751</f>
        <v>0.6364846870838882</v>
      </c>
      <c r="L43" s="28">
        <v>763</v>
      </c>
      <c r="M43" s="28">
        <v>275</v>
      </c>
      <c r="N43" s="29">
        <v>532</v>
      </c>
      <c r="O43" s="28">
        <v>628</v>
      </c>
      <c r="P43" s="28">
        <v>742</v>
      </c>
      <c r="Q43" s="28">
        <v>693</v>
      </c>
      <c r="R43" s="29">
        <v>240</v>
      </c>
      <c r="S43" s="29">
        <v>85</v>
      </c>
      <c r="T43" s="29">
        <v>50</v>
      </c>
      <c r="U43" s="39">
        <v>2329</v>
      </c>
      <c r="V43" s="8"/>
    </row>
    <row r="44" spans="1:22" ht="12.75">
      <c r="A44" s="28"/>
      <c r="B44" s="40" t="s">
        <v>125</v>
      </c>
      <c r="C44" s="40"/>
      <c r="D44" s="40"/>
      <c r="E44" s="9"/>
      <c r="F44" s="9"/>
      <c r="G44" s="11"/>
      <c r="H44" s="9"/>
      <c r="I44" s="11"/>
      <c r="J44" s="11"/>
      <c r="K44" s="9"/>
      <c r="L44" s="48" t="s">
        <v>72</v>
      </c>
      <c r="M44" s="48" t="s">
        <v>72</v>
      </c>
      <c r="N44" s="48" t="s">
        <v>72</v>
      </c>
      <c r="O44" s="48" t="s">
        <v>72</v>
      </c>
      <c r="P44" s="48" t="s">
        <v>72</v>
      </c>
      <c r="Q44" s="48" t="s">
        <v>72</v>
      </c>
      <c r="R44" s="49" t="s">
        <v>72</v>
      </c>
      <c r="S44" s="49" t="s">
        <v>72</v>
      </c>
      <c r="T44" s="49" t="s">
        <v>72</v>
      </c>
      <c r="U44" s="48" t="s">
        <v>72</v>
      </c>
      <c r="V44" s="8"/>
    </row>
    <row r="45" spans="1:21" ht="12.75">
      <c r="A45" s="64"/>
      <c r="B45" t="s">
        <v>12</v>
      </c>
      <c r="C45" s="8"/>
      <c r="D45" s="8"/>
      <c r="E45" s="8"/>
      <c r="F45" s="8"/>
      <c r="G45" s="19"/>
      <c r="H45" s="8"/>
      <c r="I45" s="8"/>
      <c r="J45" s="8"/>
      <c r="K45" s="8"/>
      <c r="L45" s="75">
        <f>763/32</f>
        <v>23.84375</v>
      </c>
      <c r="M45" s="75">
        <f>275/32</f>
        <v>8.59375</v>
      </c>
      <c r="N45" s="75">
        <f>532/32</f>
        <v>16.625</v>
      </c>
      <c r="O45" s="73">
        <f>628/32</f>
        <v>19.625</v>
      </c>
      <c r="P45" s="74">
        <f>742/32</f>
        <v>23.1875</v>
      </c>
      <c r="Q45" s="74">
        <f>693/32</f>
        <v>21.65625</v>
      </c>
      <c r="R45" s="75">
        <f>240/32</f>
        <v>7.5</v>
      </c>
      <c r="S45" s="75">
        <f>85/32</f>
        <v>2.65625</v>
      </c>
      <c r="T45" s="75">
        <f>50/32</f>
        <v>1.5625</v>
      </c>
      <c r="U45" s="75">
        <f>2329/32</f>
        <v>72.78125</v>
      </c>
    </row>
    <row r="46" spans="1:21" ht="12.75">
      <c r="A46" s="65"/>
      <c r="B46" t="s">
        <v>13</v>
      </c>
      <c r="C46" s="8"/>
      <c r="D46" s="8"/>
      <c r="E46" s="8"/>
      <c r="F46" s="8"/>
      <c r="G46" s="19"/>
      <c r="H46" s="8"/>
      <c r="I46" s="8"/>
      <c r="J46" s="8"/>
      <c r="K46" s="8"/>
      <c r="L46" s="8"/>
      <c r="M46" s="8"/>
      <c r="N46" s="19"/>
      <c r="O46" s="8"/>
      <c r="P46" s="8"/>
      <c r="Q46" s="8"/>
      <c r="R46" s="38"/>
      <c r="S46" s="38"/>
      <c r="T46" s="38"/>
      <c r="U46" s="13"/>
    </row>
    <row r="47" spans="1:23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55"/>
      <c r="P47" s="55"/>
      <c r="Q47" s="55"/>
      <c r="R47" s="38"/>
      <c r="S47" s="38"/>
      <c r="T47" s="38"/>
      <c r="U47" s="3"/>
      <c r="V47" s="55"/>
      <c r="W47" s="55"/>
    </row>
    <row r="48" spans="1:59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38"/>
      <c r="W48" s="38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3"/>
      <c r="N49" s="15"/>
      <c r="O49" s="13"/>
      <c r="P49" s="13"/>
      <c r="Q49" s="13"/>
      <c r="R49" s="14"/>
      <c r="S49" s="14"/>
      <c r="T49" s="14"/>
      <c r="U49" s="13"/>
      <c r="V49" s="13"/>
      <c r="W49" s="1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3"/>
      <c r="N50" s="15"/>
      <c r="O50" s="13"/>
      <c r="P50" s="13"/>
      <c r="Q50" s="13"/>
      <c r="R50" s="14"/>
      <c r="S50" s="14"/>
      <c r="T50" s="14"/>
      <c r="U50" s="13"/>
      <c r="V50" s="13"/>
      <c r="W50" s="1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3"/>
      <c r="N51" s="15"/>
      <c r="O51" s="13"/>
      <c r="P51" s="13"/>
      <c r="Q51" s="13"/>
      <c r="R51" s="14"/>
      <c r="S51" s="14"/>
      <c r="T51" s="14"/>
      <c r="U51" s="13"/>
      <c r="V51" s="13"/>
      <c r="W51" s="1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23" ht="12.75">
      <c r="A52" s="8"/>
      <c r="B52" s="8"/>
      <c r="C52" s="8"/>
      <c r="D52" s="8"/>
      <c r="E52" s="9"/>
      <c r="F52" s="9"/>
      <c r="G52" s="9"/>
      <c r="H52" s="13"/>
      <c r="I52" s="13"/>
      <c r="J52" s="13"/>
      <c r="K52" s="13"/>
      <c r="L52" s="12"/>
      <c r="M52" s="9"/>
      <c r="N52" s="12"/>
      <c r="O52" s="9"/>
      <c r="P52" s="9"/>
      <c r="Q52" s="9"/>
      <c r="R52" s="11"/>
      <c r="S52" s="11"/>
      <c r="T52" s="11"/>
      <c r="U52" s="9"/>
      <c r="V52" s="8"/>
      <c r="W52" s="8"/>
    </row>
    <row r="53" spans="1:23" ht="12.75">
      <c r="A53" s="8"/>
      <c r="B53" s="8"/>
      <c r="C53" s="8"/>
      <c r="D53" s="8"/>
      <c r="E53" s="9"/>
      <c r="F53" s="9"/>
      <c r="G53" s="9"/>
      <c r="H53" s="13"/>
      <c r="I53" s="13"/>
      <c r="J53" s="13"/>
      <c r="K53" s="13"/>
      <c r="L53" s="12"/>
      <c r="M53" s="9"/>
      <c r="N53" s="12"/>
      <c r="O53" s="9"/>
      <c r="P53" s="9"/>
      <c r="Q53" s="9"/>
      <c r="R53" s="11"/>
      <c r="S53" s="11"/>
      <c r="T53" s="11"/>
      <c r="U53" s="9"/>
      <c r="V53" s="8"/>
      <c r="W53" s="8"/>
    </row>
    <row r="54" spans="1:23" ht="12.75">
      <c r="A54" s="8"/>
      <c r="B54" s="8"/>
      <c r="C54" s="8"/>
      <c r="D54" s="8"/>
      <c r="E54" s="9"/>
      <c r="F54" s="9"/>
      <c r="G54" s="9"/>
      <c r="H54" s="13"/>
      <c r="I54" s="13"/>
      <c r="J54" s="13"/>
      <c r="K54" s="13"/>
      <c r="L54" s="12"/>
      <c r="M54" s="9"/>
      <c r="N54" s="12"/>
      <c r="O54" s="9"/>
      <c r="P54" s="9"/>
      <c r="Q54" s="9"/>
      <c r="R54" s="11"/>
      <c r="S54" s="11"/>
      <c r="T54" s="11"/>
      <c r="U54" s="9"/>
      <c r="V54" s="8"/>
      <c r="W54" s="8"/>
    </row>
    <row r="55" spans="1:23" ht="12.75">
      <c r="A55" s="8"/>
      <c r="B55" s="8"/>
      <c r="C55" s="8"/>
      <c r="D55" s="8"/>
      <c r="E55" s="9"/>
      <c r="F55" s="9"/>
      <c r="G55" s="9"/>
      <c r="H55" s="13"/>
      <c r="I55" s="13"/>
      <c r="J55" s="13"/>
      <c r="K55" s="13"/>
      <c r="L55" s="12"/>
      <c r="M55" s="9"/>
      <c r="N55" s="12"/>
      <c r="O55" s="9"/>
      <c r="P55" s="9"/>
      <c r="Q55" s="9"/>
      <c r="R55" s="11"/>
      <c r="S55" s="11"/>
      <c r="T55" s="11"/>
      <c r="U55" s="9"/>
      <c r="V55" s="8"/>
      <c r="W55" s="8"/>
    </row>
    <row r="56" spans="1:23" ht="12.75">
      <c r="A56" s="8"/>
      <c r="B56" s="8"/>
      <c r="C56" s="8"/>
      <c r="D56" s="8"/>
      <c r="E56" s="9"/>
      <c r="F56" s="9"/>
      <c r="G56" s="9"/>
      <c r="H56" s="13"/>
      <c r="I56" s="13"/>
      <c r="J56" s="13"/>
      <c r="K56" s="13"/>
      <c r="L56" s="12"/>
      <c r="M56" s="9"/>
      <c r="N56" s="12"/>
      <c r="O56" s="9"/>
      <c r="P56" s="9"/>
      <c r="Q56" s="9"/>
      <c r="R56" s="11"/>
      <c r="S56" s="11"/>
      <c r="T56" s="11"/>
      <c r="U56" s="9"/>
      <c r="V56" s="8"/>
      <c r="W56" s="8"/>
    </row>
    <row r="57" spans="1:23" ht="12.75">
      <c r="A57" s="8"/>
      <c r="B57" s="8"/>
      <c r="C57" s="8"/>
      <c r="D57" s="8"/>
      <c r="E57" s="9"/>
      <c r="F57" s="9"/>
      <c r="G57" s="9"/>
      <c r="H57" s="13"/>
      <c r="I57" s="13"/>
      <c r="J57" s="13"/>
      <c r="K57" s="13"/>
      <c r="L57" s="12"/>
      <c r="M57" s="9"/>
      <c r="N57" s="12"/>
      <c r="O57" s="9"/>
      <c r="P57" s="9"/>
      <c r="Q57" s="9"/>
      <c r="R57" s="11"/>
      <c r="S57" s="11"/>
      <c r="T57" s="11"/>
      <c r="U57" s="9"/>
      <c r="V57" s="8"/>
      <c r="W57" s="8"/>
    </row>
    <row r="58" spans="1:23" ht="12.75">
      <c r="A58" s="8"/>
      <c r="B58" s="8"/>
      <c r="C58" s="8"/>
      <c r="D58" s="8"/>
      <c r="E58" s="9"/>
      <c r="F58" s="9"/>
      <c r="G58" s="9"/>
      <c r="H58" s="13"/>
      <c r="I58" s="13"/>
      <c r="J58" s="13"/>
      <c r="K58" s="13"/>
      <c r="L58" s="12"/>
      <c r="M58" s="9"/>
      <c r="N58" s="12"/>
      <c r="O58" s="9"/>
      <c r="P58" s="9"/>
      <c r="Q58" s="9"/>
      <c r="R58" s="11"/>
      <c r="S58" s="11"/>
      <c r="T58" s="11"/>
      <c r="U58" s="9"/>
      <c r="V58" s="8"/>
      <c r="W58" s="8"/>
    </row>
    <row r="59" spans="1:23" ht="12.75">
      <c r="A59" s="8"/>
      <c r="B59" s="8"/>
      <c r="C59" s="8"/>
      <c r="D59" s="8"/>
      <c r="E59" s="9"/>
      <c r="F59" s="9"/>
      <c r="G59" s="9"/>
      <c r="H59" s="13"/>
      <c r="I59" s="13"/>
      <c r="J59" s="13"/>
      <c r="K59" s="13"/>
      <c r="L59" s="12"/>
      <c r="M59" s="9"/>
      <c r="N59" s="12"/>
      <c r="O59" s="9"/>
      <c r="P59" s="9"/>
      <c r="Q59" s="9"/>
      <c r="R59" s="11"/>
      <c r="S59" s="11"/>
      <c r="T59" s="11"/>
      <c r="U59" s="9"/>
      <c r="V59" s="8"/>
      <c r="W59" s="8"/>
    </row>
    <row r="60" spans="1:23" ht="12.75">
      <c r="A60" s="8"/>
      <c r="B60" s="8"/>
      <c r="C60" s="8"/>
      <c r="D60" s="8"/>
      <c r="E60" s="9"/>
      <c r="F60" s="9"/>
      <c r="G60" s="9"/>
      <c r="H60" s="13"/>
      <c r="I60" s="13"/>
      <c r="J60" s="13"/>
      <c r="K60" s="13"/>
      <c r="L60" s="12"/>
      <c r="M60" s="9"/>
      <c r="N60" s="12"/>
      <c r="O60" s="9"/>
      <c r="P60" s="9"/>
      <c r="Q60" s="9"/>
      <c r="R60" s="11"/>
      <c r="S60" s="11"/>
      <c r="T60" s="11"/>
      <c r="U60" s="9"/>
      <c r="V60" s="8"/>
      <c r="W60" s="8"/>
    </row>
    <row r="61" spans="1:23" ht="12.75">
      <c r="A61" s="8"/>
      <c r="B61" s="8"/>
      <c r="C61" s="8"/>
      <c r="D61" s="8"/>
      <c r="E61" s="9"/>
      <c r="F61" s="9"/>
      <c r="G61" s="9"/>
      <c r="H61" s="13"/>
      <c r="I61" s="13"/>
      <c r="J61" s="13"/>
      <c r="K61" s="13"/>
      <c r="L61" s="12"/>
      <c r="M61" s="9"/>
      <c r="N61" s="12"/>
      <c r="O61" s="9"/>
      <c r="P61" s="9"/>
      <c r="Q61" s="9"/>
      <c r="R61" s="11"/>
      <c r="S61" s="11"/>
      <c r="T61" s="11"/>
      <c r="U61" s="9"/>
      <c r="V61" s="8"/>
      <c r="W61" s="8"/>
    </row>
    <row r="62" spans="1:23" ht="12.75">
      <c r="A62" s="8"/>
      <c r="B62" s="21"/>
      <c r="C62" s="21"/>
      <c r="D62" s="21"/>
      <c r="E62" s="9"/>
      <c r="F62" s="9"/>
      <c r="G62" s="9"/>
      <c r="H62" s="13"/>
      <c r="I62" s="13"/>
      <c r="J62" s="13"/>
      <c r="K62" s="13"/>
      <c r="L62" s="12"/>
      <c r="M62" s="9"/>
      <c r="N62" s="12"/>
      <c r="O62" s="9"/>
      <c r="P62" s="9"/>
      <c r="Q62" s="9"/>
      <c r="R62" s="11"/>
      <c r="S62" s="11"/>
      <c r="T62" s="11"/>
      <c r="U62" s="9"/>
      <c r="V62" s="8"/>
      <c r="W62" s="8"/>
    </row>
    <row r="63" spans="1:23" ht="12.75">
      <c r="A63" s="8"/>
      <c r="B63" s="8"/>
      <c r="C63" s="8"/>
      <c r="D63" s="8"/>
      <c r="E63" s="9"/>
      <c r="F63" s="9"/>
      <c r="G63" s="9"/>
      <c r="H63" s="13"/>
      <c r="I63" s="13"/>
      <c r="J63" s="13"/>
      <c r="K63" s="13"/>
      <c r="L63" s="12"/>
      <c r="M63" s="9"/>
      <c r="N63" s="12"/>
      <c r="O63" s="9"/>
      <c r="P63" s="9"/>
      <c r="Q63" s="9"/>
      <c r="R63" s="11"/>
      <c r="S63" s="11"/>
      <c r="T63" s="11"/>
      <c r="U63" s="9"/>
      <c r="V63" s="8"/>
      <c r="W63" s="8"/>
    </row>
    <row r="64" spans="1:23" ht="12.75">
      <c r="A64" s="8"/>
      <c r="B64" s="8"/>
      <c r="C64" s="8"/>
      <c r="D64" s="8"/>
      <c r="E64" s="9"/>
      <c r="F64" s="9"/>
      <c r="G64" s="9"/>
      <c r="H64" s="13"/>
      <c r="I64" s="13"/>
      <c r="J64" s="13"/>
      <c r="K64" s="13"/>
      <c r="L64" s="12"/>
      <c r="M64" s="9"/>
      <c r="N64" s="12"/>
      <c r="O64" s="9"/>
      <c r="P64" s="9"/>
      <c r="Q64" s="9"/>
      <c r="R64" s="11"/>
      <c r="S64" s="11"/>
      <c r="T64" s="11"/>
      <c r="U64" s="9"/>
      <c r="V64" s="8"/>
      <c r="W64" s="8"/>
    </row>
    <row r="65" spans="1:23" ht="12.75">
      <c r="A65" s="8"/>
      <c r="B65" s="8"/>
      <c r="C65" s="8"/>
      <c r="D65" s="8"/>
      <c r="E65" s="9"/>
      <c r="F65" s="9"/>
      <c r="G65" s="9"/>
      <c r="H65" s="13"/>
      <c r="I65" s="13"/>
      <c r="J65" s="13"/>
      <c r="K65" s="13"/>
      <c r="L65" s="12"/>
      <c r="M65" s="9"/>
      <c r="N65" s="12"/>
      <c r="O65" s="9"/>
      <c r="P65" s="9"/>
      <c r="Q65" s="9"/>
      <c r="R65" s="11"/>
      <c r="S65" s="11"/>
      <c r="T65" s="11"/>
      <c r="U65" s="9"/>
      <c r="V65" s="8"/>
      <c r="W65" s="8"/>
    </row>
    <row r="66" spans="1:23" ht="12.75">
      <c r="A66" s="8"/>
      <c r="B66" s="21"/>
      <c r="C66" s="21"/>
      <c r="D66" s="21"/>
      <c r="E66" s="9"/>
      <c r="F66" s="9"/>
      <c r="G66" s="9"/>
      <c r="H66" s="13"/>
      <c r="I66" s="13"/>
      <c r="J66" s="13"/>
      <c r="K66" s="13"/>
      <c r="L66" s="15"/>
      <c r="M66" s="13"/>
      <c r="N66" s="15"/>
      <c r="O66" s="13"/>
      <c r="P66" s="13"/>
      <c r="Q66" s="13"/>
      <c r="R66" s="14"/>
      <c r="S66" s="14"/>
      <c r="T66" s="14"/>
      <c r="U66" s="9"/>
      <c r="V66" s="8"/>
      <c r="W66" s="8"/>
    </row>
    <row r="67" spans="1:23" ht="12.75">
      <c r="A67" s="8"/>
      <c r="B67" s="8"/>
      <c r="C67" s="8"/>
      <c r="D67" s="8"/>
      <c r="E67" s="9"/>
      <c r="F67" s="9"/>
      <c r="G67" s="9"/>
      <c r="H67" s="13"/>
      <c r="I67" s="13"/>
      <c r="J67" s="13"/>
      <c r="K67" s="9"/>
      <c r="L67" s="12"/>
      <c r="M67" s="9"/>
      <c r="N67" s="12"/>
      <c r="O67" s="9"/>
      <c r="P67" s="9"/>
      <c r="Q67" s="9"/>
      <c r="R67" s="11"/>
      <c r="S67" s="11"/>
      <c r="T67" s="11"/>
      <c r="U67" s="9"/>
      <c r="V67" s="8"/>
      <c r="W67" s="8"/>
    </row>
    <row r="68" spans="1:23" ht="12.75">
      <c r="A68" s="8"/>
      <c r="B68" s="8"/>
      <c r="C68" s="8"/>
      <c r="D68" s="8"/>
      <c r="E68" s="9"/>
      <c r="F68" s="9"/>
      <c r="G68" s="9"/>
      <c r="H68" s="13"/>
      <c r="I68" s="13"/>
      <c r="J68" s="13"/>
      <c r="K68" s="9"/>
      <c r="L68" s="9"/>
      <c r="M68" s="9"/>
      <c r="N68" s="12"/>
      <c r="O68" s="9"/>
      <c r="P68" s="9"/>
      <c r="Q68" s="9"/>
      <c r="R68" s="11"/>
      <c r="S68" s="11"/>
      <c r="T68" s="11"/>
      <c r="U68" s="8"/>
      <c r="V68" s="8"/>
      <c r="W68" s="8"/>
    </row>
    <row r="69" spans="1:23" ht="12.75">
      <c r="A69" s="8"/>
      <c r="B69" s="8"/>
      <c r="C69" s="8"/>
      <c r="D69" s="8"/>
      <c r="E69" s="9"/>
      <c r="F69" s="9"/>
      <c r="G69" s="9"/>
      <c r="H69" s="13"/>
      <c r="I69" s="13"/>
      <c r="J69" s="13"/>
      <c r="K69" s="9"/>
      <c r="L69" s="9"/>
      <c r="M69" s="8"/>
      <c r="N69" s="19"/>
      <c r="O69" s="8"/>
      <c r="P69" s="8"/>
      <c r="Q69" s="8"/>
      <c r="R69" s="19"/>
      <c r="S69" s="19"/>
      <c r="T69" s="19"/>
      <c r="V69" s="8"/>
      <c r="W69" s="8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51"/>
      <c r="P70" s="51"/>
      <c r="Q70" s="51"/>
      <c r="R70" s="53"/>
      <c r="S70" s="53"/>
      <c r="T70" s="53"/>
      <c r="U70" s="50"/>
      <c r="V70" s="54"/>
      <c r="W70" s="54"/>
    </row>
    <row r="71" spans="1:22" ht="12.75">
      <c r="A71" s="8"/>
      <c r="B71" s="8"/>
      <c r="C71" s="8"/>
      <c r="D71" s="8"/>
      <c r="E71" s="27"/>
      <c r="F71" s="27"/>
      <c r="G71" s="27"/>
      <c r="H71" s="27"/>
      <c r="I71" s="27"/>
      <c r="J71" s="27"/>
      <c r="K71" s="27"/>
      <c r="L71" s="17"/>
      <c r="M71" s="30"/>
      <c r="N71" s="31"/>
      <c r="O71" s="30"/>
      <c r="P71" s="30"/>
      <c r="Q71" s="30"/>
      <c r="R71" s="33"/>
      <c r="S71" s="33"/>
      <c r="T71" s="33"/>
      <c r="U71" s="25"/>
      <c r="V71" s="1"/>
    </row>
    <row r="72" spans="1:22" ht="12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9"/>
      <c r="M72" s="12"/>
      <c r="N72" s="11"/>
      <c r="O72" s="12"/>
      <c r="P72" s="12"/>
      <c r="Q72" s="12"/>
      <c r="R72" s="26"/>
      <c r="S72" s="26"/>
      <c r="T72" s="26"/>
      <c r="U72" s="25"/>
      <c r="V72" s="1"/>
    </row>
    <row r="73" spans="1:22" ht="12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9"/>
      <c r="M73" s="12"/>
      <c r="N73" s="11"/>
      <c r="O73" s="12"/>
      <c r="P73" s="12"/>
      <c r="Q73" s="12"/>
      <c r="R73" s="26"/>
      <c r="S73" s="26"/>
      <c r="T73" s="26"/>
      <c r="U73" s="25"/>
      <c r="V73" s="1"/>
    </row>
    <row r="74" spans="1:22" ht="12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9"/>
      <c r="M74" s="12"/>
      <c r="N74" s="11"/>
      <c r="O74" s="12"/>
      <c r="P74" s="12"/>
      <c r="Q74" s="12"/>
      <c r="R74" s="26"/>
      <c r="S74" s="26"/>
      <c r="T74" s="26"/>
      <c r="U74" s="25"/>
      <c r="V74" s="1"/>
    </row>
    <row r="75" spans="1:22" ht="12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9"/>
      <c r="M75" s="12"/>
      <c r="N75" s="11"/>
      <c r="O75" s="12"/>
      <c r="P75" s="12"/>
      <c r="Q75" s="12"/>
      <c r="R75" s="26"/>
      <c r="S75" s="26"/>
      <c r="T75" s="26"/>
      <c r="U75" s="25"/>
      <c r="V75" s="1"/>
    </row>
    <row r="76" spans="1:22" ht="12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9"/>
      <c r="M76" s="12"/>
      <c r="N76" s="11"/>
      <c r="O76" s="12"/>
      <c r="P76" s="12"/>
      <c r="Q76" s="12"/>
      <c r="R76" s="26"/>
      <c r="S76" s="26"/>
      <c r="T76" s="26"/>
      <c r="U76" s="25"/>
      <c r="V76" s="1"/>
    </row>
    <row r="77" spans="1:22" ht="12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9"/>
      <c r="M77" s="12"/>
      <c r="N77" s="11"/>
      <c r="O77" s="12"/>
      <c r="P77" s="12"/>
      <c r="Q77" s="12"/>
      <c r="R77" s="26"/>
      <c r="S77" s="26"/>
      <c r="T77" s="26"/>
      <c r="U77" s="25"/>
      <c r="V77" s="1"/>
    </row>
    <row r="78" spans="1:22" ht="12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9"/>
      <c r="M78" s="12"/>
      <c r="N78" s="11"/>
      <c r="O78" s="12"/>
      <c r="P78" s="12"/>
      <c r="Q78" s="12"/>
      <c r="R78" s="26"/>
      <c r="S78" s="26"/>
      <c r="T78" s="26"/>
      <c r="U78" s="25"/>
      <c r="V78" s="1"/>
    </row>
    <row r="79" spans="1:22" ht="12.75">
      <c r="A79" s="8"/>
      <c r="B79" s="8"/>
      <c r="C79" s="8"/>
      <c r="D79" s="8"/>
      <c r="E79" s="18"/>
      <c r="F79" s="18"/>
      <c r="G79" s="18"/>
      <c r="H79" s="18"/>
      <c r="I79" s="18"/>
      <c r="J79" s="18"/>
      <c r="K79" s="18"/>
      <c r="L79" s="9"/>
      <c r="M79" s="12"/>
      <c r="N79" s="11"/>
      <c r="O79" s="12"/>
      <c r="P79" s="12"/>
      <c r="Q79" s="12"/>
      <c r="R79" s="26"/>
      <c r="S79" s="26"/>
      <c r="T79" s="26"/>
      <c r="U79" s="25"/>
      <c r="V79" s="1"/>
    </row>
    <row r="80" spans="1:22" ht="12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9"/>
      <c r="M80" s="12"/>
      <c r="N80" s="11"/>
      <c r="O80" s="12"/>
      <c r="P80" s="12"/>
      <c r="Q80" s="12"/>
      <c r="R80" s="26"/>
      <c r="S80" s="26"/>
      <c r="T80" s="26"/>
      <c r="U80" s="25"/>
      <c r="V80" s="1"/>
    </row>
    <row r="81" spans="1:22" ht="12.75">
      <c r="A81" s="8"/>
      <c r="B81" s="8"/>
      <c r="C81" s="8"/>
      <c r="D81" s="8"/>
      <c r="E81" s="18"/>
      <c r="F81" s="18"/>
      <c r="G81" s="18"/>
      <c r="H81" s="18"/>
      <c r="I81" s="18"/>
      <c r="J81" s="18"/>
      <c r="K81" s="18"/>
      <c r="L81" s="9"/>
      <c r="M81" s="12"/>
      <c r="N81" s="11"/>
      <c r="O81" s="12"/>
      <c r="P81" s="12"/>
      <c r="Q81" s="12"/>
      <c r="R81" s="26"/>
      <c r="S81" s="26"/>
      <c r="T81" s="26"/>
      <c r="U81" s="25"/>
      <c r="V81" s="1"/>
    </row>
    <row r="82" spans="1:22" ht="12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9"/>
      <c r="M82" s="12"/>
      <c r="N82" s="11"/>
      <c r="O82" s="12"/>
      <c r="P82" s="12"/>
      <c r="Q82" s="12"/>
      <c r="R82" s="26"/>
      <c r="S82" s="26"/>
      <c r="T82" s="26"/>
      <c r="U82" s="25"/>
      <c r="V82" s="1"/>
    </row>
    <row r="83" spans="1:22" ht="12.75">
      <c r="A83" s="8"/>
      <c r="B83" s="8"/>
      <c r="C83" s="8"/>
      <c r="D83" s="8"/>
      <c r="E83" s="18"/>
      <c r="F83" s="18"/>
      <c r="G83" s="18"/>
      <c r="H83" s="18"/>
      <c r="I83" s="18"/>
      <c r="J83" s="18"/>
      <c r="K83" s="18"/>
      <c r="L83" s="9"/>
      <c r="M83" s="12"/>
      <c r="N83" s="11"/>
      <c r="O83" s="12"/>
      <c r="P83" s="12"/>
      <c r="Q83" s="12"/>
      <c r="R83" s="26"/>
      <c r="S83" s="26"/>
      <c r="T83" s="26"/>
      <c r="U83" s="25"/>
      <c r="V83" s="1"/>
    </row>
    <row r="84" spans="1:22" ht="12.75">
      <c r="A84" s="8"/>
      <c r="B84" s="21"/>
      <c r="C84" s="21"/>
      <c r="D84" s="21"/>
      <c r="E84" s="18"/>
      <c r="F84" s="18"/>
      <c r="G84" s="18"/>
      <c r="H84" s="18"/>
      <c r="I84" s="18"/>
      <c r="J84" s="18"/>
      <c r="K84" s="18"/>
      <c r="L84" s="9"/>
      <c r="M84" s="12"/>
      <c r="N84" s="11"/>
      <c r="O84" s="12"/>
      <c r="P84" s="12"/>
      <c r="Q84" s="12"/>
      <c r="R84" s="26"/>
      <c r="S84" s="26"/>
      <c r="T84" s="26"/>
      <c r="U84" s="25"/>
      <c r="V84" s="1"/>
    </row>
    <row r="85" spans="1:22" ht="12.75">
      <c r="A85" s="8"/>
      <c r="B85" s="8"/>
      <c r="C85" s="8"/>
      <c r="D85" s="8"/>
      <c r="E85" s="18"/>
      <c r="F85" s="18"/>
      <c r="G85" s="18"/>
      <c r="H85" s="18"/>
      <c r="I85" s="18"/>
      <c r="J85" s="18"/>
      <c r="K85" s="18"/>
      <c r="L85" s="9"/>
      <c r="M85" s="12"/>
      <c r="N85" s="11"/>
      <c r="O85" s="12"/>
      <c r="P85" s="12"/>
      <c r="Q85" s="12"/>
      <c r="R85" s="26"/>
      <c r="S85" s="26"/>
      <c r="T85" s="26"/>
      <c r="U85" s="25"/>
      <c r="V85" s="1"/>
    </row>
    <row r="86" spans="1:22" ht="12.75">
      <c r="A86" s="8"/>
      <c r="B86" s="8"/>
      <c r="C86" s="8"/>
      <c r="D86" s="8"/>
      <c r="E86" s="18"/>
      <c r="F86" s="18"/>
      <c r="G86" s="18"/>
      <c r="H86" s="18"/>
      <c r="I86" s="18"/>
      <c r="J86" s="18"/>
      <c r="K86" s="18"/>
      <c r="L86" s="9"/>
      <c r="M86" s="12"/>
      <c r="N86" s="11"/>
      <c r="O86" s="12"/>
      <c r="P86" s="12"/>
      <c r="Q86" s="12"/>
      <c r="R86" s="26"/>
      <c r="S86" s="26"/>
      <c r="T86" s="26"/>
      <c r="U86" s="25"/>
      <c r="V86" s="1"/>
    </row>
    <row r="87" spans="1:22" ht="12.75">
      <c r="A87" s="8"/>
      <c r="B87" s="8"/>
      <c r="C87" s="8"/>
      <c r="D87" s="8"/>
      <c r="E87" s="18"/>
      <c r="F87" s="18"/>
      <c r="G87" s="18"/>
      <c r="H87" s="18"/>
      <c r="I87" s="18"/>
      <c r="J87" s="18"/>
      <c r="K87" s="18"/>
      <c r="L87" s="9"/>
      <c r="M87" s="12"/>
      <c r="N87" s="11"/>
      <c r="O87" s="12"/>
      <c r="P87" s="12"/>
      <c r="Q87" s="12"/>
      <c r="R87" s="34"/>
      <c r="S87" s="34"/>
      <c r="T87" s="34"/>
      <c r="U87" s="25"/>
      <c r="V87" s="1"/>
    </row>
    <row r="88" spans="1:22" ht="12.75">
      <c r="A88" s="8"/>
      <c r="B88" s="21"/>
      <c r="C88" s="21"/>
      <c r="D88" s="21"/>
      <c r="E88" s="18"/>
      <c r="F88" s="18"/>
      <c r="G88" s="18"/>
      <c r="H88" s="18"/>
      <c r="I88" s="18"/>
      <c r="J88" s="18"/>
      <c r="K88" s="35"/>
      <c r="L88" s="13"/>
      <c r="M88" s="12"/>
      <c r="N88" s="14"/>
      <c r="O88" s="12"/>
      <c r="P88" s="12"/>
      <c r="Q88" s="12"/>
      <c r="R88" s="34"/>
      <c r="S88" s="34"/>
      <c r="T88" s="34"/>
      <c r="U88" s="25"/>
      <c r="V88" s="1"/>
    </row>
    <row r="89" spans="1:22" ht="12.75">
      <c r="A89" s="8"/>
      <c r="B89" s="8"/>
      <c r="C89" s="8"/>
      <c r="D89" s="8"/>
      <c r="E89" s="18"/>
      <c r="F89" s="18"/>
      <c r="G89" s="18"/>
      <c r="H89" s="18"/>
      <c r="I89" s="18"/>
      <c r="J89" s="18"/>
      <c r="K89" s="18"/>
      <c r="L89" s="9"/>
      <c r="M89" s="12"/>
      <c r="N89" s="11"/>
      <c r="O89" s="12"/>
      <c r="P89" s="12"/>
      <c r="Q89" s="12"/>
      <c r="R89" s="34"/>
      <c r="S89" s="34"/>
      <c r="T89" s="34"/>
      <c r="U89" s="25"/>
      <c r="V89" s="1"/>
    </row>
    <row r="90" spans="5:22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2" max="2" width="17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7.57421875" style="0" customWidth="1"/>
    <col min="7" max="7" width="8.57421875" style="0" customWidth="1"/>
    <col min="8" max="8" width="7.421875" style="0" customWidth="1"/>
    <col min="9" max="9" width="6.8515625" style="0" customWidth="1"/>
    <col min="10" max="10" width="7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421875" style="0" customWidth="1"/>
    <col min="17" max="17" width="7.00390625" style="0" customWidth="1"/>
    <col min="18" max="18" width="6.57421875" style="0" customWidth="1"/>
  </cols>
  <sheetData>
    <row r="1" spans="1:18" ht="12.75">
      <c r="A1" s="4" t="s">
        <v>14</v>
      </c>
      <c r="B1" s="4" t="s">
        <v>15</v>
      </c>
      <c r="C1" s="45" t="s">
        <v>16</v>
      </c>
      <c r="D1" s="4" t="s">
        <v>17</v>
      </c>
      <c r="E1" s="4" t="s">
        <v>18</v>
      </c>
      <c r="F1" s="4" t="s">
        <v>37</v>
      </c>
      <c r="G1" s="4" t="s">
        <v>20</v>
      </c>
      <c r="H1" s="4" t="s">
        <v>19</v>
      </c>
      <c r="I1" s="4" t="s">
        <v>20</v>
      </c>
      <c r="J1" s="4" t="s">
        <v>21</v>
      </c>
      <c r="K1" s="4" t="s">
        <v>20</v>
      </c>
      <c r="L1" s="4" t="s">
        <v>22</v>
      </c>
      <c r="M1" s="5" t="s">
        <v>23</v>
      </c>
      <c r="N1" s="4" t="s">
        <v>24</v>
      </c>
      <c r="O1" s="6" t="s">
        <v>25</v>
      </c>
      <c r="P1" s="5" t="s">
        <v>26</v>
      </c>
      <c r="Q1" s="5" t="s">
        <v>38</v>
      </c>
      <c r="R1" s="5" t="s">
        <v>39</v>
      </c>
    </row>
    <row r="2" spans="1:18" ht="12.75">
      <c r="A2" s="8">
        <v>4</v>
      </c>
      <c r="B2" s="8" t="s">
        <v>35</v>
      </c>
      <c r="C2" s="9">
        <v>22</v>
      </c>
      <c r="D2" s="9">
        <v>37</v>
      </c>
      <c r="E2" s="12">
        <f>37/22</f>
        <v>1.6818181818181819</v>
      </c>
      <c r="F2" s="9">
        <v>323</v>
      </c>
      <c r="G2" s="12">
        <f>323/22</f>
        <v>14.681818181818182</v>
      </c>
      <c r="H2" s="9">
        <v>62</v>
      </c>
      <c r="I2" s="12">
        <f>62/22</f>
        <v>2.8181818181818183</v>
      </c>
      <c r="J2" s="9">
        <v>45</v>
      </c>
      <c r="K2" s="12">
        <f>45/22</f>
        <v>2.0454545454545454</v>
      </c>
      <c r="L2" s="9">
        <v>32</v>
      </c>
      <c r="M2" s="11">
        <v>18</v>
      </c>
      <c r="N2" s="11">
        <v>50</v>
      </c>
      <c r="O2" s="12">
        <f>50/22</f>
        <v>2.272727272727273</v>
      </c>
      <c r="P2" s="9">
        <v>16</v>
      </c>
      <c r="Q2" s="8">
        <v>0</v>
      </c>
      <c r="R2" s="8">
        <v>0</v>
      </c>
    </row>
    <row r="3" spans="1:18" ht="12.75">
      <c r="A3" s="8"/>
      <c r="B3" s="8" t="s">
        <v>75</v>
      </c>
      <c r="C3" s="9">
        <v>5</v>
      </c>
      <c r="D3" s="9">
        <v>14</v>
      </c>
      <c r="E3" s="12">
        <f>14/5</f>
        <v>2.8</v>
      </c>
      <c r="F3" s="9">
        <v>34</v>
      </c>
      <c r="G3" s="12">
        <f>34/5</f>
        <v>6.8</v>
      </c>
      <c r="H3" s="9">
        <v>8</v>
      </c>
      <c r="I3" s="12">
        <f>8/5</f>
        <v>1.6</v>
      </c>
      <c r="J3" s="9">
        <v>4</v>
      </c>
      <c r="K3" s="12">
        <f>4/5</f>
        <v>0.8</v>
      </c>
      <c r="L3" s="9">
        <v>3</v>
      </c>
      <c r="M3" s="11">
        <v>0</v>
      </c>
      <c r="N3" s="11">
        <v>3</v>
      </c>
      <c r="O3" s="15">
        <f>3/5</f>
        <v>0.6</v>
      </c>
      <c r="P3" s="9">
        <v>2</v>
      </c>
      <c r="Q3" s="8">
        <v>0</v>
      </c>
      <c r="R3" s="8">
        <v>0</v>
      </c>
    </row>
    <row r="4" spans="1:18" ht="12.75">
      <c r="A4" s="8">
        <v>6</v>
      </c>
      <c r="B4" s="8" t="s">
        <v>76</v>
      </c>
      <c r="C4" s="9">
        <v>31</v>
      </c>
      <c r="D4" s="9">
        <v>293</v>
      </c>
      <c r="E4" s="12">
        <f>293/31</f>
        <v>9.451612903225806</v>
      </c>
      <c r="F4" s="9">
        <v>1004</v>
      </c>
      <c r="G4" s="12">
        <f>1004/31</f>
        <v>32.38709677419355</v>
      </c>
      <c r="H4" s="9">
        <v>70</v>
      </c>
      <c r="I4" s="12">
        <f>70/31</f>
        <v>2.2580645161290325</v>
      </c>
      <c r="J4" s="9">
        <v>97</v>
      </c>
      <c r="K4" s="12">
        <f>97/31</f>
        <v>3.129032258064516</v>
      </c>
      <c r="L4" s="9">
        <v>109</v>
      </c>
      <c r="M4" s="11">
        <v>22</v>
      </c>
      <c r="N4" s="11">
        <v>131</v>
      </c>
      <c r="O4" s="15">
        <f>131/31</f>
        <v>4.225806451612903</v>
      </c>
      <c r="P4" s="9">
        <v>75</v>
      </c>
      <c r="Q4" s="8">
        <v>12</v>
      </c>
      <c r="R4" s="8">
        <v>5</v>
      </c>
    </row>
    <row r="5" spans="1:18" ht="12.75">
      <c r="A5" s="8">
        <v>8</v>
      </c>
      <c r="B5" s="8" t="s">
        <v>42</v>
      </c>
      <c r="C5" s="9">
        <v>30</v>
      </c>
      <c r="D5" s="9">
        <v>307</v>
      </c>
      <c r="E5" s="12">
        <f>307/30</f>
        <v>10.233333333333333</v>
      </c>
      <c r="F5" s="13">
        <v>753</v>
      </c>
      <c r="G5" s="12">
        <f>753/30</f>
        <v>25.1</v>
      </c>
      <c r="H5" s="13">
        <v>78</v>
      </c>
      <c r="I5" s="12">
        <f>78/30</f>
        <v>2.6</v>
      </c>
      <c r="J5" s="9">
        <v>115</v>
      </c>
      <c r="K5" s="12">
        <f>115/30</f>
        <v>3.8333333333333335</v>
      </c>
      <c r="L5" s="9">
        <v>65</v>
      </c>
      <c r="M5" s="11">
        <v>35</v>
      </c>
      <c r="N5" s="11">
        <v>100</v>
      </c>
      <c r="O5" s="12">
        <f>100/30</f>
        <v>3.3333333333333335</v>
      </c>
      <c r="P5" s="9">
        <v>25</v>
      </c>
      <c r="Q5" s="8">
        <v>3</v>
      </c>
      <c r="R5" s="8">
        <v>13</v>
      </c>
    </row>
    <row r="6" spans="1:18" ht="12.75">
      <c r="A6" s="8">
        <v>9</v>
      </c>
      <c r="B6" s="8" t="s">
        <v>43</v>
      </c>
      <c r="C6" s="9">
        <v>28</v>
      </c>
      <c r="D6" s="9">
        <v>342</v>
      </c>
      <c r="E6" s="12">
        <f>342/28</f>
        <v>12.214285714285714</v>
      </c>
      <c r="F6" s="13">
        <v>682</v>
      </c>
      <c r="G6" s="12">
        <f>682/28</f>
        <v>24.357142857142858</v>
      </c>
      <c r="H6" s="13">
        <v>72</v>
      </c>
      <c r="I6" s="12">
        <f>72/28</f>
        <v>2.5714285714285716</v>
      </c>
      <c r="J6" s="9">
        <v>67</v>
      </c>
      <c r="K6" s="12">
        <f>67/28</f>
        <v>2.392857142857143</v>
      </c>
      <c r="L6" s="9">
        <v>54</v>
      </c>
      <c r="M6" s="11">
        <v>14</v>
      </c>
      <c r="N6" s="11">
        <v>68</v>
      </c>
      <c r="O6" s="15">
        <f>68/28</f>
        <v>2.4285714285714284</v>
      </c>
      <c r="P6" s="9">
        <v>23</v>
      </c>
      <c r="Q6" s="8">
        <v>6</v>
      </c>
      <c r="R6" s="8">
        <v>10</v>
      </c>
    </row>
    <row r="7" spans="1:18" ht="12.75">
      <c r="A7" s="8">
        <v>7</v>
      </c>
      <c r="B7" s="8" t="s">
        <v>27</v>
      </c>
      <c r="C7" s="9">
        <v>28</v>
      </c>
      <c r="D7" s="9">
        <v>366</v>
      </c>
      <c r="E7" s="12">
        <f>366/28</f>
        <v>13.071428571428571</v>
      </c>
      <c r="F7" s="13">
        <v>634</v>
      </c>
      <c r="G7" s="12">
        <f>634/28</f>
        <v>22.642857142857142</v>
      </c>
      <c r="H7" s="13">
        <v>62</v>
      </c>
      <c r="I7" s="12">
        <f>62/28</f>
        <v>2.2142857142857144</v>
      </c>
      <c r="J7" s="9">
        <v>33</v>
      </c>
      <c r="K7" s="12">
        <f>33/28</f>
        <v>1.1785714285714286</v>
      </c>
      <c r="L7" s="9">
        <v>35</v>
      </c>
      <c r="M7" s="11">
        <v>5</v>
      </c>
      <c r="N7" s="11">
        <v>40</v>
      </c>
      <c r="O7" s="15">
        <f>40/28</f>
        <v>1.4285714285714286</v>
      </c>
      <c r="P7" s="9">
        <v>17</v>
      </c>
      <c r="Q7" s="8">
        <v>2</v>
      </c>
      <c r="R7" s="8">
        <v>6</v>
      </c>
    </row>
    <row r="8" spans="1:18" ht="12.75">
      <c r="A8" s="8">
        <v>10</v>
      </c>
      <c r="B8" s="8" t="s">
        <v>77</v>
      </c>
      <c r="C8" s="9">
        <v>30</v>
      </c>
      <c r="D8" s="9">
        <v>280</v>
      </c>
      <c r="E8" s="12">
        <f>280/30</f>
        <v>9.333333333333334</v>
      </c>
      <c r="F8" s="13">
        <v>670</v>
      </c>
      <c r="G8" s="12">
        <f>670/30</f>
        <v>22.333333333333332</v>
      </c>
      <c r="H8" s="13">
        <v>75</v>
      </c>
      <c r="I8" s="12">
        <f>75/30</f>
        <v>2.5</v>
      </c>
      <c r="J8" s="9">
        <v>33</v>
      </c>
      <c r="K8" s="12">
        <f>33/30</f>
        <v>1.1</v>
      </c>
      <c r="L8" s="9">
        <v>58</v>
      </c>
      <c r="M8" s="11">
        <v>12</v>
      </c>
      <c r="N8" s="11">
        <v>70</v>
      </c>
      <c r="O8" s="12">
        <f>70/30</f>
        <v>2.3333333333333335</v>
      </c>
      <c r="P8" s="9">
        <v>13</v>
      </c>
      <c r="Q8" s="8">
        <v>0</v>
      </c>
      <c r="R8" s="8">
        <v>1</v>
      </c>
    </row>
    <row r="9" spans="1:18" ht="12.75">
      <c r="A9" s="8">
        <v>16</v>
      </c>
      <c r="B9" s="8" t="s">
        <v>78</v>
      </c>
      <c r="C9" s="9">
        <v>19</v>
      </c>
      <c r="D9" s="9">
        <v>123</v>
      </c>
      <c r="E9" s="12">
        <f>123/19</f>
        <v>6.473684210526316</v>
      </c>
      <c r="F9" s="13">
        <v>440</v>
      </c>
      <c r="G9" s="12">
        <f>440/19</f>
        <v>23.157894736842106</v>
      </c>
      <c r="H9" s="13">
        <v>46</v>
      </c>
      <c r="I9" s="12">
        <f>46/19</f>
        <v>2.4210526315789473</v>
      </c>
      <c r="J9" s="9">
        <v>52</v>
      </c>
      <c r="K9" s="12">
        <f>52/19</f>
        <v>2.736842105263158</v>
      </c>
      <c r="L9" s="9">
        <v>97</v>
      </c>
      <c r="M9" s="11">
        <v>56</v>
      </c>
      <c r="N9" s="11">
        <v>153</v>
      </c>
      <c r="O9" s="15">
        <f>153/19</f>
        <v>8.052631578947368</v>
      </c>
      <c r="P9" s="9">
        <v>9</v>
      </c>
      <c r="Q9" s="8">
        <v>38</v>
      </c>
      <c r="R9" s="8">
        <v>1</v>
      </c>
    </row>
    <row r="10" spans="1:18" ht="12.75">
      <c r="A10" s="8">
        <v>5</v>
      </c>
      <c r="B10" s="8" t="s">
        <v>36</v>
      </c>
      <c r="C10" s="9">
        <v>11</v>
      </c>
      <c r="D10" s="9">
        <v>53</v>
      </c>
      <c r="E10" s="12">
        <f>53/11</f>
        <v>4.818181818181818</v>
      </c>
      <c r="F10" s="13">
        <v>193</v>
      </c>
      <c r="G10" s="12">
        <f>193/11</f>
        <v>17.545454545454547</v>
      </c>
      <c r="H10" s="13">
        <v>18</v>
      </c>
      <c r="I10" s="12">
        <f>18/11</f>
        <v>1.6363636363636365</v>
      </c>
      <c r="J10" s="9">
        <v>36</v>
      </c>
      <c r="K10" s="12">
        <f>36/11</f>
        <v>3.272727272727273</v>
      </c>
      <c r="L10" s="9">
        <v>5</v>
      </c>
      <c r="M10" s="11">
        <v>1</v>
      </c>
      <c r="N10" s="11">
        <v>6</v>
      </c>
      <c r="O10" s="12">
        <f>6/11</f>
        <v>0.5454545454545454</v>
      </c>
      <c r="P10" s="9">
        <v>12</v>
      </c>
      <c r="Q10" s="8">
        <v>0</v>
      </c>
      <c r="R10" s="8">
        <v>1</v>
      </c>
    </row>
    <row r="11" spans="1:18" ht="12.75">
      <c r="A11" s="8">
        <v>11</v>
      </c>
      <c r="B11" s="8" t="s">
        <v>79</v>
      </c>
      <c r="C11" s="9">
        <v>29</v>
      </c>
      <c r="D11" s="9">
        <v>173</v>
      </c>
      <c r="E11" s="12">
        <f>173/29</f>
        <v>5.9655172413793105</v>
      </c>
      <c r="F11" s="13">
        <v>426</v>
      </c>
      <c r="G11" s="12">
        <f>426/29</f>
        <v>14.689655172413794</v>
      </c>
      <c r="H11" s="13">
        <v>53</v>
      </c>
      <c r="I11" s="12">
        <f>53/29</f>
        <v>1.8275862068965518</v>
      </c>
      <c r="J11" s="9">
        <v>72</v>
      </c>
      <c r="K11" s="12">
        <f>72/29</f>
        <v>2.4827586206896552</v>
      </c>
      <c r="L11" s="9">
        <v>53</v>
      </c>
      <c r="M11" s="11">
        <v>26</v>
      </c>
      <c r="N11" s="11">
        <v>79</v>
      </c>
      <c r="O11" s="15">
        <f>79/29</f>
        <v>2.7241379310344827</v>
      </c>
      <c r="P11" s="9">
        <v>9</v>
      </c>
      <c r="Q11" s="8">
        <v>6</v>
      </c>
      <c r="R11" s="8">
        <v>6</v>
      </c>
    </row>
    <row r="12" spans="1:18" ht="12.75">
      <c r="A12" s="8">
        <v>19</v>
      </c>
      <c r="B12" s="8" t="s">
        <v>86</v>
      </c>
      <c r="C12" s="9">
        <v>22</v>
      </c>
      <c r="D12" s="9">
        <v>74</v>
      </c>
      <c r="E12" s="12">
        <f>74/22</f>
        <v>3.3636363636363638</v>
      </c>
      <c r="F12" s="13">
        <v>542</v>
      </c>
      <c r="G12" s="12">
        <f>542/22</f>
        <v>24.636363636363637</v>
      </c>
      <c r="H12" s="13">
        <v>63</v>
      </c>
      <c r="I12" s="12">
        <f>63/22</f>
        <v>2.8636363636363638</v>
      </c>
      <c r="J12" s="9">
        <v>31</v>
      </c>
      <c r="K12" s="12">
        <f>31/22</f>
        <v>1.4090909090909092</v>
      </c>
      <c r="L12" s="9">
        <v>96</v>
      </c>
      <c r="M12" s="11">
        <v>43</v>
      </c>
      <c r="N12" s="11">
        <v>139</v>
      </c>
      <c r="O12" s="12">
        <f>139/22</f>
        <v>6.318181818181818</v>
      </c>
      <c r="P12" s="9">
        <v>12</v>
      </c>
      <c r="Q12" s="8">
        <v>11</v>
      </c>
      <c r="R12" s="8">
        <v>3</v>
      </c>
    </row>
    <row r="13" spans="1:18" ht="12.75">
      <c r="A13" s="8">
        <v>20</v>
      </c>
      <c r="B13" s="8" t="s">
        <v>40</v>
      </c>
      <c r="C13" s="9">
        <v>13</v>
      </c>
      <c r="D13" s="9">
        <v>62</v>
      </c>
      <c r="E13" s="12">
        <f>62/13</f>
        <v>4.769230769230769</v>
      </c>
      <c r="F13" s="13">
        <v>163</v>
      </c>
      <c r="G13" s="12">
        <f>163/13</f>
        <v>12.538461538461538</v>
      </c>
      <c r="H13" s="13">
        <v>36</v>
      </c>
      <c r="I13" s="12">
        <f>36/13</f>
        <v>2.769230769230769</v>
      </c>
      <c r="J13" s="9">
        <v>21</v>
      </c>
      <c r="K13" s="12">
        <f>21/13</f>
        <v>1.6153846153846154</v>
      </c>
      <c r="L13" s="9">
        <v>26</v>
      </c>
      <c r="M13" s="11">
        <v>1</v>
      </c>
      <c r="N13" s="11">
        <v>27</v>
      </c>
      <c r="O13" s="12">
        <f>27/13</f>
        <v>2.076923076923077</v>
      </c>
      <c r="P13" s="9">
        <v>4</v>
      </c>
      <c r="Q13" s="8">
        <v>1</v>
      </c>
      <c r="R13" s="8">
        <v>2</v>
      </c>
    </row>
    <row r="14" spans="1:18" ht="12.75">
      <c r="A14" s="8">
        <v>14</v>
      </c>
      <c r="B14" s="76" t="s">
        <v>28</v>
      </c>
      <c r="C14" s="9">
        <v>21</v>
      </c>
      <c r="D14" s="9">
        <v>196</v>
      </c>
      <c r="E14" s="12">
        <f>196/21</f>
        <v>9.333333333333334</v>
      </c>
      <c r="F14" s="13">
        <v>468</v>
      </c>
      <c r="G14" s="12">
        <f>468/21</f>
        <v>22.285714285714285</v>
      </c>
      <c r="H14" s="13">
        <v>86</v>
      </c>
      <c r="I14" s="12">
        <f>86/21</f>
        <v>4.095238095238095</v>
      </c>
      <c r="J14" s="9">
        <v>74</v>
      </c>
      <c r="K14" s="12">
        <f>74/21</f>
        <v>3.5238095238095237</v>
      </c>
      <c r="L14" s="9">
        <v>112</v>
      </c>
      <c r="M14" s="11">
        <v>35</v>
      </c>
      <c r="N14" s="11">
        <v>147</v>
      </c>
      <c r="O14" s="12">
        <f>147/21</f>
        <v>7</v>
      </c>
      <c r="P14" s="9">
        <v>23</v>
      </c>
      <c r="Q14" s="8">
        <v>0</v>
      </c>
      <c r="R14" s="8">
        <v>1</v>
      </c>
    </row>
    <row r="15" spans="1:18" ht="12.75">
      <c r="A15" s="8">
        <v>18</v>
      </c>
      <c r="B15" s="21" t="s">
        <v>80</v>
      </c>
      <c r="C15" s="9">
        <v>15</v>
      </c>
      <c r="D15" s="9">
        <v>21</v>
      </c>
      <c r="E15" s="12">
        <f>21/15</f>
        <v>1.4</v>
      </c>
      <c r="F15" s="13">
        <v>104</v>
      </c>
      <c r="G15" s="12">
        <f>104/15</f>
        <v>6.933333333333334</v>
      </c>
      <c r="H15" s="13">
        <v>12</v>
      </c>
      <c r="I15" s="12">
        <f>12/15</f>
        <v>0.8</v>
      </c>
      <c r="J15" s="9">
        <v>12</v>
      </c>
      <c r="K15" s="12">
        <f>12/15</f>
        <v>0.8</v>
      </c>
      <c r="L15" s="9">
        <v>16</v>
      </c>
      <c r="M15" s="11">
        <v>6</v>
      </c>
      <c r="N15" s="11">
        <v>22</v>
      </c>
      <c r="O15" s="12">
        <f>22/15</f>
        <v>1.4666666666666666</v>
      </c>
      <c r="P15" s="9">
        <v>0</v>
      </c>
      <c r="Q15" s="8">
        <v>6</v>
      </c>
      <c r="R15" s="8">
        <v>0</v>
      </c>
    </row>
    <row r="16" spans="1:18" ht="12.75">
      <c r="A16" s="8">
        <v>13</v>
      </c>
      <c r="B16" s="8" t="s">
        <v>98</v>
      </c>
      <c r="C16" s="9">
        <v>3</v>
      </c>
      <c r="D16" s="9">
        <v>4</v>
      </c>
      <c r="E16" s="12">
        <f>4/3</f>
        <v>1.3333333333333333</v>
      </c>
      <c r="F16" s="13">
        <v>14</v>
      </c>
      <c r="G16" s="12">
        <f>14/3</f>
        <v>4.666666666666667</v>
      </c>
      <c r="H16" s="13">
        <v>1</v>
      </c>
      <c r="I16" s="12">
        <f>1/3</f>
        <v>0.3333333333333333</v>
      </c>
      <c r="J16" s="9">
        <v>1</v>
      </c>
      <c r="K16" s="12">
        <f>1/3</f>
        <v>0.3333333333333333</v>
      </c>
      <c r="L16" s="9">
        <v>2</v>
      </c>
      <c r="M16" s="11">
        <v>1</v>
      </c>
      <c r="N16" s="11">
        <v>3</v>
      </c>
      <c r="O16" s="12">
        <f>3/3</f>
        <v>1</v>
      </c>
      <c r="P16" s="9">
        <v>0</v>
      </c>
      <c r="Q16" s="8">
        <v>0</v>
      </c>
      <c r="R16" s="8">
        <v>1</v>
      </c>
    </row>
    <row r="17" spans="1:18" ht="12.75">
      <c r="A17" s="8"/>
      <c r="B17" s="76" t="s">
        <v>106</v>
      </c>
      <c r="C17" s="9"/>
      <c r="D17" s="9"/>
      <c r="E17" s="12"/>
      <c r="F17" s="13"/>
      <c r="G17" s="12"/>
      <c r="H17" s="13"/>
      <c r="I17" s="12"/>
      <c r="J17" s="9"/>
      <c r="K17" s="12"/>
      <c r="L17" s="9"/>
      <c r="M17" s="11"/>
      <c r="N17" s="11"/>
      <c r="O17" s="12"/>
      <c r="P17" s="9"/>
      <c r="Q17" s="8"/>
      <c r="R17" s="8"/>
    </row>
    <row r="18" spans="1:18" ht="12.75">
      <c r="A18" s="8"/>
      <c r="B18" s="8"/>
      <c r="C18" s="9"/>
      <c r="D18" s="9"/>
      <c r="E18" s="12"/>
      <c r="F18" s="13"/>
      <c r="G18" s="12"/>
      <c r="H18" s="13"/>
      <c r="I18" s="12"/>
      <c r="J18" s="9"/>
      <c r="K18" s="12"/>
      <c r="L18" s="9"/>
      <c r="M18" s="11"/>
      <c r="N18" s="11"/>
      <c r="O18" s="15"/>
      <c r="P18" s="9"/>
      <c r="Q18" s="8"/>
      <c r="R18" s="8"/>
    </row>
    <row r="19" spans="1:18" ht="12.75">
      <c r="A19" s="8"/>
      <c r="B19" s="21"/>
      <c r="C19" s="9"/>
      <c r="D19" s="9"/>
      <c r="E19" s="12"/>
      <c r="F19" s="13"/>
      <c r="G19" s="15"/>
      <c r="H19" s="13"/>
      <c r="I19" s="15"/>
      <c r="J19" s="13"/>
      <c r="K19" s="15"/>
      <c r="L19" s="13"/>
      <c r="M19" s="14"/>
      <c r="N19" s="14"/>
      <c r="O19" s="12"/>
      <c r="P19" s="9"/>
      <c r="Q19" s="8"/>
      <c r="R19" s="8"/>
    </row>
    <row r="20" spans="1:18" ht="12.75">
      <c r="A20" s="8"/>
      <c r="B20" s="8"/>
      <c r="C20" s="9"/>
      <c r="D20" s="9"/>
      <c r="E20" s="12"/>
      <c r="F20" s="13"/>
      <c r="G20" s="12"/>
      <c r="H20" s="9"/>
      <c r="I20" s="12"/>
      <c r="J20" s="9"/>
      <c r="K20" s="12"/>
      <c r="L20" s="9"/>
      <c r="M20" s="11"/>
      <c r="N20" s="11"/>
      <c r="O20" s="12"/>
      <c r="P20" s="9"/>
      <c r="Q20" s="8"/>
      <c r="R20" s="8"/>
    </row>
    <row r="21" spans="1:18" ht="12.75">
      <c r="A21" s="8"/>
      <c r="B21" s="8"/>
      <c r="C21" s="9"/>
      <c r="D21" s="9"/>
      <c r="E21" s="9"/>
      <c r="F21" s="13"/>
      <c r="G21" s="9"/>
      <c r="H21" s="9"/>
      <c r="I21" s="9"/>
      <c r="J21" s="9"/>
      <c r="K21" s="12"/>
      <c r="L21" s="9"/>
      <c r="M21" s="12"/>
      <c r="N21" s="11"/>
      <c r="O21" s="9"/>
      <c r="P21" s="8"/>
      <c r="Q21" s="8"/>
      <c r="R21" s="8"/>
    </row>
    <row r="22" spans="1:18" ht="12.75">
      <c r="A22" s="8"/>
      <c r="B22" s="8"/>
      <c r="C22" s="9"/>
      <c r="D22" s="9"/>
      <c r="E22" s="9"/>
      <c r="F22" s="13"/>
      <c r="G22" s="9"/>
      <c r="H22" s="9"/>
      <c r="I22" s="9"/>
      <c r="J22" s="8"/>
      <c r="K22" s="19"/>
      <c r="L22" s="8"/>
      <c r="M22" s="20"/>
      <c r="N22" s="19"/>
      <c r="Q22" s="8"/>
      <c r="R22" s="8"/>
    </row>
    <row r="23" spans="1:18" ht="12.75">
      <c r="A23" s="4" t="s">
        <v>14</v>
      </c>
      <c r="B23" s="4" t="s">
        <v>15</v>
      </c>
      <c r="C23" s="4" t="s">
        <v>29</v>
      </c>
      <c r="D23" s="4" t="s">
        <v>30</v>
      </c>
      <c r="E23" s="4" t="s">
        <v>31</v>
      </c>
      <c r="F23" s="4" t="s">
        <v>2</v>
      </c>
      <c r="G23" s="4" t="s">
        <v>3</v>
      </c>
      <c r="H23" s="4" t="s">
        <v>4</v>
      </c>
      <c r="I23" s="4" t="s">
        <v>8</v>
      </c>
      <c r="J23" s="4" t="s">
        <v>25</v>
      </c>
      <c r="K23" s="5" t="s">
        <v>32</v>
      </c>
      <c r="L23" s="4" t="s">
        <v>25</v>
      </c>
      <c r="M23" s="22" t="s">
        <v>33</v>
      </c>
      <c r="N23" s="23"/>
      <c r="O23" s="7" t="s">
        <v>34</v>
      </c>
      <c r="P23" s="24" t="s">
        <v>25</v>
      </c>
      <c r="Q23" s="8" t="s">
        <v>74</v>
      </c>
      <c r="R23" s="8" t="s">
        <v>73</v>
      </c>
    </row>
    <row r="24" spans="1:18" ht="12.75">
      <c r="A24" s="8">
        <v>4</v>
      </c>
      <c r="B24" s="8" t="s">
        <v>35</v>
      </c>
      <c r="C24" s="16" t="s">
        <v>114</v>
      </c>
      <c r="D24" s="27">
        <f>8/22</f>
        <v>0.36363636363636365</v>
      </c>
      <c r="E24" s="16" t="s">
        <v>126</v>
      </c>
      <c r="F24" s="27">
        <f>13/24</f>
        <v>0.5416666666666666</v>
      </c>
      <c r="G24" s="16" t="s">
        <v>115</v>
      </c>
      <c r="H24" s="27">
        <f>1/8</f>
        <v>0.125</v>
      </c>
      <c r="I24" s="17">
        <v>39</v>
      </c>
      <c r="J24" s="30">
        <f>39/22</f>
        <v>1.7727272727272727</v>
      </c>
      <c r="K24" s="31">
        <v>55</v>
      </c>
      <c r="L24" s="30">
        <f>55/22</f>
        <v>2.5</v>
      </c>
      <c r="M24" s="32"/>
      <c r="N24" s="33">
        <v>16</v>
      </c>
      <c r="O24" s="1">
        <v>70</v>
      </c>
      <c r="P24" s="25">
        <f>70/22</f>
        <v>3.1818181818181817</v>
      </c>
      <c r="Q24" s="1">
        <v>1</v>
      </c>
      <c r="R24">
        <v>1</v>
      </c>
    </row>
    <row r="25" spans="1:18" ht="12.75">
      <c r="A25" s="8"/>
      <c r="B25" s="8" t="s">
        <v>75</v>
      </c>
      <c r="C25" s="13" t="s">
        <v>82</v>
      </c>
      <c r="D25" s="18">
        <f>2/4</f>
        <v>0.5</v>
      </c>
      <c r="E25" s="13" t="s">
        <v>81</v>
      </c>
      <c r="F25" s="18">
        <v>0</v>
      </c>
      <c r="G25" s="13" t="s">
        <v>96</v>
      </c>
      <c r="H25" s="18">
        <f>4/8</f>
        <v>0.5</v>
      </c>
      <c r="I25" s="9">
        <v>8</v>
      </c>
      <c r="J25" s="12">
        <f>8/5</f>
        <v>1.6</v>
      </c>
      <c r="K25" s="11">
        <v>2</v>
      </c>
      <c r="L25" s="12">
        <f>2/5</f>
        <v>0.4</v>
      </c>
      <c r="M25" s="25"/>
      <c r="N25" s="26">
        <v>-6</v>
      </c>
      <c r="O25" s="1">
        <v>3</v>
      </c>
      <c r="P25" s="25">
        <f>3/5</f>
        <v>0.6</v>
      </c>
      <c r="Q25" s="1">
        <v>0</v>
      </c>
      <c r="R25">
        <v>0</v>
      </c>
    </row>
    <row r="26" spans="1:18" ht="12.75">
      <c r="A26" s="8">
        <v>6</v>
      </c>
      <c r="B26" s="8" t="s">
        <v>76</v>
      </c>
      <c r="C26" s="13" t="s">
        <v>127</v>
      </c>
      <c r="D26" s="18">
        <f>72/95</f>
        <v>0.7578947368421053</v>
      </c>
      <c r="E26" s="13" t="s">
        <v>128</v>
      </c>
      <c r="F26" s="18">
        <f>76/155</f>
        <v>0.49032258064516127</v>
      </c>
      <c r="G26" s="13" t="s">
        <v>129</v>
      </c>
      <c r="H26" s="18">
        <f>23/62</f>
        <v>0.3709677419354839</v>
      </c>
      <c r="I26" s="9">
        <v>97</v>
      </c>
      <c r="J26" s="12">
        <f>97/31</f>
        <v>3.129032258064516</v>
      </c>
      <c r="K26" s="11">
        <v>136</v>
      </c>
      <c r="L26" s="12">
        <f>136/31</f>
        <v>4.387096774193548</v>
      </c>
      <c r="M26" s="25"/>
      <c r="N26" s="26">
        <v>39</v>
      </c>
      <c r="O26" s="1">
        <v>435</v>
      </c>
      <c r="P26" s="25">
        <f>435/31</f>
        <v>14.03225806451613</v>
      </c>
      <c r="Q26" s="1">
        <v>0</v>
      </c>
      <c r="R26">
        <v>0</v>
      </c>
    </row>
    <row r="27" spans="1:18" ht="12.75">
      <c r="A27" s="8">
        <v>8</v>
      </c>
      <c r="B27" s="8" t="s">
        <v>42</v>
      </c>
      <c r="C27" s="13" t="s">
        <v>130</v>
      </c>
      <c r="D27" s="18">
        <f>65/139</f>
        <v>0.4676258992805755</v>
      </c>
      <c r="E27" s="16" t="s">
        <v>131</v>
      </c>
      <c r="F27" s="18">
        <f>121/236</f>
        <v>0.5127118644067796</v>
      </c>
      <c r="G27" s="13" t="s">
        <v>102</v>
      </c>
      <c r="H27" s="18">
        <v>0</v>
      </c>
      <c r="I27" s="9">
        <v>78</v>
      </c>
      <c r="J27" s="12">
        <f>78/30</f>
        <v>2.6</v>
      </c>
      <c r="K27" s="11">
        <v>50</v>
      </c>
      <c r="L27" s="12">
        <f>50/30</f>
        <v>1.6666666666666667</v>
      </c>
      <c r="M27" s="25"/>
      <c r="N27" s="26">
        <v>-28</v>
      </c>
      <c r="O27" s="3">
        <v>238</v>
      </c>
      <c r="P27" s="25">
        <f>238/30</f>
        <v>7.933333333333334</v>
      </c>
      <c r="Q27" s="3">
        <v>2</v>
      </c>
      <c r="R27">
        <v>0</v>
      </c>
    </row>
    <row r="28" spans="1:18" ht="12.75">
      <c r="A28" s="8">
        <v>9</v>
      </c>
      <c r="B28" s="8" t="s">
        <v>43</v>
      </c>
      <c r="C28" s="13" t="s">
        <v>132</v>
      </c>
      <c r="D28" s="18">
        <f>52/72</f>
        <v>0.7222222222222222</v>
      </c>
      <c r="E28" s="13" t="s">
        <v>133</v>
      </c>
      <c r="F28" s="18">
        <f>91/174</f>
        <v>0.5229885057471264</v>
      </c>
      <c r="G28" s="13" t="s">
        <v>134</v>
      </c>
      <c r="H28" s="18">
        <f>36/114</f>
        <v>0.3157894736842105</v>
      </c>
      <c r="I28" s="9">
        <v>64</v>
      </c>
      <c r="J28" s="12">
        <f>64/28</f>
        <v>2.2857142857142856</v>
      </c>
      <c r="K28" s="11">
        <v>62</v>
      </c>
      <c r="L28" s="12">
        <f>62/28</f>
        <v>2.2142857142857144</v>
      </c>
      <c r="M28" s="25"/>
      <c r="N28" s="26">
        <v>-2</v>
      </c>
      <c r="O28" s="3">
        <v>243</v>
      </c>
      <c r="P28" s="25">
        <f>243/28</f>
        <v>8.678571428571429</v>
      </c>
      <c r="Q28" s="3">
        <v>4</v>
      </c>
      <c r="R28">
        <v>0</v>
      </c>
    </row>
    <row r="29" spans="1:18" ht="12.75">
      <c r="A29" s="8">
        <v>7</v>
      </c>
      <c r="B29" s="8" t="s">
        <v>27</v>
      </c>
      <c r="C29" s="13" t="s">
        <v>135</v>
      </c>
      <c r="D29" s="18">
        <f>38/55</f>
        <v>0.6909090909090909</v>
      </c>
      <c r="E29" s="13" t="s">
        <v>136</v>
      </c>
      <c r="F29" s="18">
        <f>38/76</f>
        <v>0.5</v>
      </c>
      <c r="G29" s="13" t="s">
        <v>137</v>
      </c>
      <c r="H29" s="18">
        <f>84/189</f>
        <v>0.4444444444444444</v>
      </c>
      <c r="I29" s="9">
        <v>35</v>
      </c>
      <c r="J29" s="12">
        <f>35/28</f>
        <v>1.25</v>
      </c>
      <c r="K29" s="11">
        <v>32</v>
      </c>
      <c r="L29" s="12">
        <f>32/28</f>
        <v>1.1428571428571428</v>
      </c>
      <c r="M29" s="25"/>
      <c r="N29" s="26">
        <v>-3</v>
      </c>
      <c r="O29" s="3">
        <v>228</v>
      </c>
      <c r="P29" s="25">
        <f>228/28</f>
        <v>8.142857142857142</v>
      </c>
      <c r="Q29" s="3">
        <v>2</v>
      </c>
      <c r="R29">
        <v>0</v>
      </c>
    </row>
    <row r="30" spans="1:18" ht="12.75">
      <c r="A30" s="8">
        <v>10</v>
      </c>
      <c r="B30" s="8" t="s">
        <v>77</v>
      </c>
      <c r="C30" s="13" t="s">
        <v>110</v>
      </c>
      <c r="D30" s="18">
        <f>39/41</f>
        <v>0.9512195121951219</v>
      </c>
      <c r="E30" s="13" t="s">
        <v>138</v>
      </c>
      <c r="F30" s="18">
        <f>32/78</f>
        <v>0.41025641025641024</v>
      </c>
      <c r="G30" s="13" t="s">
        <v>139</v>
      </c>
      <c r="H30" s="18">
        <f>59/148</f>
        <v>0.39864864864864863</v>
      </c>
      <c r="I30" s="9">
        <v>37</v>
      </c>
      <c r="J30" s="12">
        <f>37/30</f>
        <v>1.2333333333333334</v>
      </c>
      <c r="K30" s="11">
        <v>38</v>
      </c>
      <c r="L30" s="12">
        <f>38/30</f>
        <v>1.2666666666666666</v>
      </c>
      <c r="M30" s="25"/>
      <c r="N30" s="26">
        <v>1</v>
      </c>
      <c r="O30" s="3">
        <v>184</v>
      </c>
      <c r="P30" s="25">
        <f>184/30</f>
        <v>6.133333333333334</v>
      </c>
      <c r="Q30" s="3">
        <v>2</v>
      </c>
      <c r="R30">
        <v>0</v>
      </c>
    </row>
    <row r="31" spans="1:18" ht="12.75">
      <c r="A31" s="8">
        <v>16</v>
      </c>
      <c r="B31" s="8" t="s">
        <v>78</v>
      </c>
      <c r="C31" s="13" t="s">
        <v>140</v>
      </c>
      <c r="D31" s="18">
        <f>35/56</f>
        <v>0.625</v>
      </c>
      <c r="E31" s="13" t="s">
        <v>141</v>
      </c>
      <c r="F31" s="18">
        <f>44/94</f>
        <v>0.46808510638297873</v>
      </c>
      <c r="G31" s="13" t="s">
        <v>142</v>
      </c>
      <c r="H31" s="18">
        <f>0/1</f>
        <v>0</v>
      </c>
      <c r="I31" s="9">
        <v>35</v>
      </c>
      <c r="J31" s="12">
        <f>35/19</f>
        <v>1.8421052631578947</v>
      </c>
      <c r="K31" s="11">
        <v>48</v>
      </c>
      <c r="L31" s="12">
        <f>48/19</f>
        <v>2.526315789473684</v>
      </c>
      <c r="M31" s="25"/>
      <c r="N31" s="26">
        <v>13</v>
      </c>
      <c r="O31" s="3">
        <v>267</v>
      </c>
      <c r="P31" s="25">
        <f>267/19</f>
        <v>14.052631578947368</v>
      </c>
      <c r="Q31" s="3">
        <v>1</v>
      </c>
      <c r="R31">
        <v>0</v>
      </c>
    </row>
    <row r="32" spans="1:18" ht="12.75">
      <c r="A32" s="8">
        <v>5</v>
      </c>
      <c r="B32" s="8" t="s">
        <v>36</v>
      </c>
      <c r="C32" s="13" t="s">
        <v>143</v>
      </c>
      <c r="D32" s="18">
        <f>31/39</f>
        <v>0.7948717948717948</v>
      </c>
      <c r="E32" s="13" t="s">
        <v>144</v>
      </c>
      <c r="F32" s="18">
        <f>5/24</f>
        <v>0.20833333333333334</v>
      </c>
      <c r="G32" s="13" t="s">
        <v>145</v>
      </c>
      <c r="H32" s="18">
        <f>4/18</f>
        <v>0.2222222222222222</v>
      </c>
      <c r="I32" s="9">
        <v>18</v>
      </c>
      <c r="J32" s="12">
        <f>18/11</f>
        <v>1.6363636363636365</v>
      </c>
      <c r="K32" s="11">
        <v>10</v>
      </c>
      <c r="L32" s="12">
        <f>10/11</f>
        <v>0.9090909090909091</v>
      </c>
      <c r="M32" s="25"/>
      <c r="N32" s="26">
        <v>-8</v>
      </c>
      <c r="O32" s="3">
        <v>39</v>
      </c>
      <c r="P32" s="25">
        <f>39/11</f>
        <v>3.5454545454545454</v>
      </c>
      <c r="Q32" s="3">
        <v>1</v>
      </c>
      <c r="R32">
        <v>1</v>
      </c>
    </row>
    <row r="33" spans="1:18" ht="12.75">
      <c r="A33" s="8">
        <v>11</v>
      </c>
      <c r="B33" s="8" t="s">
        <v>79</v>
      </c>
      <c r="C33" s="13" t="s">
        <v>146</v>
      </c>
      <c r="D33" s="18">
        <f>44/74</f>
        <v>0.5945945945945946</v>
      </c>
      <c r="E33" s="13" t="s">
        <v>147</v>
      </c>
      <c r="F33" s="18">
        <f>48/123</f>
        <v>0.3902439024390244</v>
      </c>
      <c r="G33" s="13" t="s">
        <v>148</v>
      </c>
      <c r="H33" s="18">
        <f>11/39</f>
        <v>0.28205128205128205</v>
      </c>
      <c r="I33" s="9">
        <v>36</v>
      </c>
      <c r="J33" s="12">
        <f>36/29</f>
        <v>1.2413793103448276</v>
      </c>
      <c r="K33" s="11">
        <v>42</v>
      </c>
      <c r="L33" s="12">
        <f>42/29</f>
        <v>1.4482758620689655</v>
      </c>
      <c r="M33" s="25"/>
      <c r="N33" s="26">
        <v>6</v>
      </c>
      <c r="O33" s="1">
        <v>153</v>
      </c>
      <c r="P33" s="25">
        <f>153/29</f>
        <v>5.275862068965517</v>
      </c>
      <c r="Q33" s="1">
        <v>0</v>
      </c>
      <c r="R33">
        <v>0</v>
      </c>
    </row>
    <row r="34" spans="1:18" ht="12.75">
      <c r="A34" s="8">
        <v>19</v>
      </c>
      <c r="B34" s="8" t="s">
        <v>86</v>
      </c>
      <c r="C34" s="13" t="s">
        <v>116</v>
      </c>
      <c r="D34" s="18">
        <f>18/26</f>
        <v>0.6923076923076923</v>
      </c>
      <c r="E34" s="13" t="s">
        <v>149</v>
      </c>
      <c r="F34" s="18">
        <f>22/79</f>
        <v>0.27848101265822783</v>
      </c>
      <c r="G34" s="13" t="s">
        <v>117</v>
      </c>
      <c r="H34" s="18">
        <f>4/21</f>
        <v>0.19047619047619047</v>
      </c>
      <c r="I34" s="9">
        <v>31</v>
      </c>
      <c r="J34" s="12">
        <f>31/22</f>
        <v>1.4090909090909092</v>
      </c>
      <c r="K34" s="11">
        <v>66</v>
      </c>
      <c r="L34" s="12">
        <f>66/22</f>
        <v>3</v>
      </c>
      <c r="M34" s="25"/>
      <c r="N34" s="26">
        <v>35</v>
      </c>
      <c r="O34" s="1">
        <v>154</v>
      </c>
      <c r="P34" s="25">
        <f>154/22</f>
        <v>7</v>
      </c>
      <c r="Q34" s="1">
        <v>2</v>
      </c>
      <c r="R34">
        <v>0</v>
      </c>
    </row>
    <row r="35" spans="1:18" ht="12.75">
      <c r="A35" s="8">
        <v>20</v>
      </c>
      <c r="B35" s="8" t="s">
        <v>40</v>
      </c>
      <c r="C35" s="13" t="s">
        <v>150</v>
      </c>
      <c r="D35" s="18">
        <f>23/28</f>
        <v>0.8214285714285714</v>
      </c>
      <c r="E35" s="13" t="s">
        <v>151</v>
      </c>
      <c r="F35" s="18">
        <f>12/26</f>
        <v>0.46153846153846156</v>
      </c>
      <c r="G35" s="13" t="s">
        <v>152</v>
      </c>
      <c r="H35" s="18">
        <f>5/12</f>
        <v>0.4166666666666667</v>
      </c>
      <c r="I35" s="9">
        <v>11</v>
      </c>
      <c r="J35" s="12">
        <f>11/13</f>
        <v>0.8461538461538461</v>
      </c>
      <c r="K35" s="11">
        <v>21</v>
      </c>
      <c r="L35" s="12">
        <f>21/13</f>
        <v>1.6153846153846154</v>
      </c>
      <c r="M35" s="25"/>
      <c r="N35" s="26">
        <v>10</v>
      </c>
      <c r="O35" s="1">
        <v>61</v>
      </c>
      <c r="P35" s="25">
        <f>61/13</f>
        <v>4.6923076923076925</v>
      </c>
      <c r="Q35" s="1">
        <v>0</v>
      </c>
      <c r="R35">
        <v>0</v>
      </c>
    </row>
    <row r="36" spans="1:18" ht="12.75">
      <c r="A36" s="8">
        <v>14</v>
      </c>
      <c r="B36" s="76" t="s">
        <v>28</v>
      </c>
      <c r="C36" s="13" t="s">
        <v>153</v>
      </c>
      <c r="D36" s="18">
        <f>42/80</f>
        <v>0.525</v>
      </c>
      <c r="E36" s="13" t="s">
        <v>154</v>
      </c>
      <c r="F36" s="18">
        <f>47/101</f>
        <v>0.46534653465346537</v>
      </c>
      <c r="G36" s="13" t="s">
        <v>155</v>
      </c>
      <c r="H36" s="18">
        <f>20/71</f>
        <v>0.28169014084507044</v>
      </c>
      <c r="I36" s="9">
        <v>37</v>
      </c>
      <c r="J36" s="12">
        <f>37/21</f>
        <v>1.7619047619047619</v>
      </c>
      <c r="K36" s="11">
        <v>55</v>
      </c>
      <c r="L36" s="12">
        <f>55/21</f>
        <v>2.619047619047619</v>
      </c>
      <c r="M36" s="25"/>
      <c r="N36" s="26">
        <v>18</v>
      </c>
      <c r="O36" s="1">
        <v>229</v>
      </c>
      <c r="P36" s="25">
        <f>229/21</f>
        <v>10.904761904761905</v>
      </c>
      <c r="Q36" s="1">
        <v>10</v>
      </c>
      <c r="R36">
        <v>3</v>
      </c>
    </row>
    <row r="37" spans="1:18" ht="12.75">
      <c r="A37" s="8">
        <v>18</v>
      </c>
      <c r="B37" s="21" t="s">
        <v>80</v>
      </c>
      <c r="C37" s="13" t="s">
        <v>156</v>
      </c>
      <c r="D37" s="18">
        <f>7/18</f>
        <v>0.3888888888888889</v>
      </c>
      <c r="E37" s="13" t="s">
        <v>157</v>
      </c>
      <c r="F37" s="18">
        <f>7/26</f>
        <v>0.2692307692307692</v>
      </c>
      <c r="G37" s="13" t="s">
        <v>83</v>
      </c>
      <c r="H37" s="18">
        <v>0</v>
      </c>
      <c r="I37" s="9">
        <v>5</v>
      </c>
      <c r="J37" s="12">
        <f>5/15</f>
        <v>0.3333333333333333</v>
      </c>
      <c r="K37" s="11">
        <v>11</v>
      </c>
      <c r="L37" s="12">
        <f>11/15</f>
        <v>0.7333333333333333</v>
      </c>
      <c r="M37" s="25"/>
      <c r="N37" s="26">
        <v>6</v>
      </c>
      <c r="O37" s="1">
        <v>24</v>
      </c>
      <c r="P37" s="25">
        <f>24/15</f>
        <v>1.6</v>
      </c>
      <c r="Q37" s="1">
        <v>0</v>
      </c>
      <c r="R37">
        <v>0</v>
      </c>
    </row>
    <row r="38" spans="1:18" ht="12.75">
      <c r="A38" s="8">
        <v>13</v>
      </c>
      <c r="B38" s="8" t="s">
        <v>98</v>
      </c>
      <c r="C38" s="13" t="s">
        <v>158</v>
      </c>
      <c r="D38" s="18">
        <f>2/2</f>
        <v>1</v>
      </c>
      <c r="E38" s="13" t="s">
        <v>159</v>
      </c>
      <c r="F38" s="18">
        <f>1/3</f>
        <v>0.3333333333333333</v>
      </c>
      <c r="G38" s="13" t="s">
        <v>97</v>
      </c>
      <c r="H38" s="18">
        <v>0</v>
      </c>
      <c r="I38" s="9">
        <v>1</v>
      </c>
      <c r="J38" s="12">
        <f>1/3</f>
        <v>0.3333333333333333</v>
      </c>
      <c r="K38" s="11">
        <v>0</v>
      </c>
      <c r="L38" s="12">
        <v>0</v>
      </c>
      <c r="M38" s="25"/>
      <c r="N38" s="26">
        <v>-1</v>
      </c>
      <c r="O38" s="1">
        <v>1</v>
      </c>
      <c r="P38" s="25">
        <f>1/3</f>
        <v>0.3333333333333333</v>
      </c>
      <c r="Q38" s="1">
        <v>0</v>
      </c>
      <c r="R38">
        <v>0</v>
      </c>
    </row>
    <row r="39" spans="1:17" ht="12.75">
      <c r="A39" s="8"/>
      <c r="B39" s="76" t="s">
        <v>106</v>
      </c>
      <c r="C39" s="13"/>
      <c r="D39" s="18"/>
      <c r="E39" s="13"/>
      <c r="F39" s="18"/>
      <c r="G39" s="13"/>
      <c r="H39" s="18"/>
      <c r="I39" s="9"/>
      <c r="J39" s="12"/>
      <c r="K39" s="11"/>
      <c r="L39" s="12"/>
      <c r="M39" s="25"/>
      <c r="N39" s="26"/>
      <c r="O39" s="1"/>
      <c r="P39" s="25"/>
      <c r="Q39" s="1"/>
    </row>
    <row r="40" spans="1:17" ht="12.75">
      <c r="A40" s="8"/>
      <c r="B40" s="8"/>
      <c r="C40" s="13"/>
      <c r="D40" s="18"/>
      <c r="E40" s="13"/>
      <c r="F40" s="18"/>
      <c r="G40" s="13"/>
      <c r="H40" s="18"/>
      <c r="I40" s="9"/>
      <c r="J40" s="12"/>
      <c r="K40" s="11"/>
      <c r="L40" s="12"/>
      <c r="M40" s="12"/>
      <c r="N40" s="34"/>
      <c r="O40" s="46"/>
      <c r="P40" s="25"/>
      <c r="Q40" s="1"/>
    </row>
    <row r="41" spans="1:17" ht="12.75">
      <c r="A41" s="8"/>
      <c r="B41" s="21"/>
      <c r="C41" s="13"/>
      <c r="D41" s="18"/>
      <c r="E41" s="13"/>
      <c r="F41" s="18"/>
      <c r="G41" s="13"/>
      <c r="H41" s="35"/>
      <c r="I41" s="13"/>
      <c r="J41" s="12"/>
      <c r="K41" s="14"/>
      <c r="L41" s="12"/>
      <c r="M41" s="12"/>
      <c r="N41" s="34"/>
      <c r="O41" s="46"/>
      <c r="P41" s="25"/>
      <c r="Q41" s="1"/>
    </row>
    <row r="42" spans="1:17" ht="12.75">
      <c r="A42" s="8"/>
      <c r="B42" s="8"/>
      <c r="C42" s="13"/>
      <c r="D42" s="18"/>
      <c r="E42" s="13"/>
      <c r="F42" s="18"/>
      <c r="G42" s="13"/>
      <c r="H42" s="18"/>
      <c r="I42" s="9"/>
      <c r="J42" s="12"/>
      <c r="K42" s="11"/>
      <c r="L42" s="12"/>
      <c r="M42" s="12"/>
      <c r="N42" s="34"/>
      <c r="O42" s="1"/>
      <c r="P42" s="25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2010-06-09T11:21:34Z</cp:lastPrinted>
  <dcterms:created xsi:type="dcterms:W3CDTF">2007-11-12T19:51:33Z</dcterms:created>
  <dcterms:modified xsi:type="dcterms:W3CDTF">2010-06-13T12:28:44Z</dcterms:modified>
  <cp:category/>
  <cp:version/>
  <cp:contentType/>
  <cp:contentStatus/>
</cp:coreProperties>
</file>