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quadra" sheetId="1" r:id="rId1"/>
    <sheet name="individuali" sheetId="2" r:id="rId2"/>
  </sheets>
  <definedNames/>
  <calcPr fullCalcOnLoad="1"/>
</workbook>
</file>

<file path=xl/sharedStrings.xml><?xml version="1.0" encoding="utf-8"?>
<sst xmlns="http://schemas.openxmlformats.org/spreadsheetml/2006/main" count="210" uniqueCount="175">
  <si>
    <t xml:space="preserve">GIORNATA </t>
  </si>
  <si>
    <t xml:space="preserve">PARTITA </t>
  </si>
  <si>
    <t>% T2</t>
  </si>
  <si>
    <t>T3</t>
  </si>
  <si>
    <t>% T3</t>
  </si>
  <si>
    <t>% TL</t>
  </si>
  <si>
    <t>RIM. D.</t>
  </si>
  <si>
    <t>RIM. O</t>
  </si>
  <si>
    <t>PP</t>
  </si>
  <si>
    <t>RE</t>
  </si>
  <si>
    <t>ASS</t>
  </si>
  <si>
    <t>VAL.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</si>
  <si>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</si>
  <si>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</si>
  <si>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</si>
  <si>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</si>
  <si>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</si>
  <si>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</si>
  <si>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</si>
  <si>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Falli c</t>
  </si>
  <si>
    <t xml:space="preserve">media </t>
  </si>
  <si>
    <t>Falli s</t>
  </si>
  <si>
    <t>RD</t>
  </si>
  <si>
    <t>RO</t>
  </si>
  <si>
    <t>RT</t>
  </si>
  <si>
    <t>media</t>
  </si>
  <si>
    <t>Assist</t>
  </si>
  <si>
    <t>Benetti Fabrizio</t>
  </si>
  <si>
    <t>tiri liberi</t>
  </si>
  <si>
    <t>%TL</t>
  </si>
  <si>
    <t>T2</t>
  </si>
  <si>
    <t xml:space="preserve">RE </t>
  </si>
  <si>
    <t>saldo RE- PP</t>
  </si>
  <si>
    <t>Val</t>
  </si>
  <si>
    <t>Minuti</t>
  </si>
  <si>
    <t>St.d</t>
  </si>
  <si>
    <t>St.s</t>
  </si>
  <si>
    <t>TOTALE</t>
  </si>
  <si>
    <t>Francia Giacomo</t>
  </si>
  <si>
    <t>Vittuari Luca</t>
  </si>
  <si>
    <t>TT</t>
  </si>
  <si>
    <t>TR</t>
  </si>
  <si>
    <t xml:space="preserve"> TIRI DA 2</t>
  </si>
  <si>
    <t xml:space="preserve"> TIRI DA 3</t>
  </si>
  <si>
    <t xml:space="preserve"> TIRI LIBERI</t>
  </si>
  <si>
    <t>FC</t>
  </si>
  <si>
    <t>FS</t>
  </si>
  <si>
    <t>ST d</t>
  </si>
  <si>
    <t>espuls</t>
  </si>
  <si>
    <t>tecnici</t>
  </si>
  <si>
    <t>Carosi Francesco</t>
  </si>
  <si>
    <t>Mantovan Davide</t>
  </si>
  <si>
    <t>Tiozzo Luca</t>
  </si>
  <si>
    <t>ST s</t>
  </si>
  <si>
    <t>Piacenza-Audace</t>
  </si>
  <si>
    <t>Audace-Salsomaggiore</t>
  </si>
  <si>
    <t>Sampolese-Audace</t>
  </si>
  <si>
    <t xml:space="preserve">Audace-UP Calderara </t>
  </si>
  <si>
    <t>Castello Piumazzo-Audace</t>
  </si>
  <si>
    <t xml:space="preserve">Audace-Sciotaim </t>
  </si>
  <si>
    <t>Lg Castelnuovo-Audace</t>
  </si>
  <si>
    <t>Giusti Valerio</t>
  </si>
  <si>
    <t>Gianninoni Federico</t>
  </si>
  <si>
    <t>Audace-Pallavicini</t>
  </si>
  <si>
    <t>Vis Persiceto-Audace</t>
  </si>
  <si>
    <t>Audace-Cus Parma</t>
  </si>
  <si>
    <t>Audace-Magik Parma</t>
  </si>
  <si>
    <t>Dozza Andrea</t>
  </si>
  <si>
    <t>Gagliardi Gioele</t>
  </si>
  <si>
    <t>Kirandjinski Marjan</t>
  </si>
  <si>
    <t>Marconi Riccardo</t>
  </si>
  <si>
    <t>Teglia Lorenzo</t>
  </si>
  <si>
    <t>Falzetti Luigi</t>
  </si>
  <si>
    <t>PSA Modena-Audace</t>
  </si>
  <si>
    <t>Audace-Pieve Volley RE</t>
  </si>
  <si>
    <t>Pall. Gallo-Audace</t>
  </si>
  <si>
    <t>Audace- Aquila Luzzara</t>
  </si>
  <si>
    <t>1su1</t>
  </si>
  <si>
    <t>5su11</t>
  </si>
  <si>
    <t>0su3</t>
  </si>
  <si>
    <t>0su1</t>
  </si>
  <si>
    <t>0su0</t>
  </si>
  <si>
    <t>8T 76-58</t>
  </si>
  <si>
    <t>7C 60-56</t>
  </si>
  <si>
    <t>6T 69-75</t>
  </si>
  <si>
    <t>5C 61-57</t>
  </si>
  <si>
    <t>4T 62-53</t>
  </si>
  <si>
    <t>3C 66-71</t>
  </si>
  <si>
    <t>2T 56-71</t>
  </si>
  <si>
    <t>1C 61-53</t>
  </si>
  <si>
    <t>9C 70-46</t>
  </si>
  <si>
    <t>10T 70-48</t>
  </si>
  <si>
    <t>11C 64-60</t>
  </si>
  <si>
    <t>12T 47-75</t>
  </si>
  <si>
    <t>13C 79-71</t>
  </si>
  <si>
    <t>Tuccillo Michele</t>
  </si>
  <si>
    <t>4su6</t>
  </si>
  <si>
    <t>9su13</t>
  </si>
  <si>
    <t>11su25</t>
  </si>
  <si>
    <t>14T 49-69</t>
  </si>
  <si>
    <t>15C 67-52</t>
  </si>
  <si>
    <t>Girolami Simone</t>
  </si>
  <si>
    <t>39su63</t>
  </si>
  <si>
    <t>18su55</t>
  </si>
  <si>
    <t>2su16</t>
  </si>
  <si>
    <t>1su2</t>
  </si>
  <si>
    <t>16 T 67-73</t>
  </si>
  <si>
    <t>Magik Parma-Audace</t>
  </si>
  <si>
    <t>17 C 62-54</t>
  </si>
  <si>
    <t>Audace-Sampolese</t>
  </si>
  <si>
    <t>18 T 75-69</t>
  </si>
  <si>
    <t>Cus Parma - Audace</t>
  </si>
  <si>
    <t>19 C 53-62</t>
  </si>
  <si>
    <t>Audace-Vis Persiceto</t>
  </si>
  <si>
    <t>20 T 61-51</t>
  </si>
  <si>
    <t>Calderara - Audace</t>
  </si>
  <si>
    <t>Pallavicini-Audace</t>
  </si>
  <si>
    <t>22 T 59-63</t>
  </si>
  <si>
    <t>23C 71-58</t>
  </si>
  <si>
    <t>Audace-Piacenza</t>
  </si>
  <si>
    <t>24T 51-48</t>
  </si>
  <si>
    <t>Sciotaim -Audace</t>
  </si>
  <si>
    <t>25 C 64-60</t>
  </si>
  <si>
    <t>Audace- PSA Modena</t>
  </si>
  <si>
    <t>Audace- Lg Castelnuovo</t>
  </si>
  <si>
    <t>Salsomaggiore - Audace</t>
  </si>
  <si>
    <t>Audace -Castello Piumazzo</t>
  </si>
  <si>
    <t>Pieve Volley RE-Audace</t>
  </si>
  <si>
    <t>Aquila Luzzara-Audace</t>
  </si>
  <si>
    <t>Audace-Pall. Gallo</t>
  </si>
  <si>
    <t>21 C 63-71</t>
  </si>
  <si>
    <t>26T 52-75</t>
  </si>
  <si>
    <t>27C 74-47</t>
  </si>
  <si>
    <t>28T 71-72</t>
  </si>
  <si>
    <t>29T 75-82</t>
  </si>
  <si>
    <t>30C 66-46</t>
  </si>
  <si>
    <t>3su7</t>
  </si>
  <si>
    <t>7su22</t>
  </si>
  <si>
    <t>3su21</t>
  </si>
  <si>
    <t>1su7</t>
  </si>
  <si>
    <t>7su14</t>
  </si>
  <si>
    <t>9su14</t>
  </si>
  <si>
    <t>8su12</t>
  </si>
  <si>
    <t>QDF 77-65</t>
  </si>
  <si>
    <t>QDF 100-81</t>
  </si>
  <si>
    <t>SEM 78-84</t>
  </si>
  <si>
    <t>Audace-Giorgina Saffi FO</t>
  </si>
  <si>
    <t>Giorgina Saffi FO-Audace</t>
  </si>
  <si>
    <t>2176-2076</t>
  </si>
  <si>
    <t>media F: 65,9 S: 62,9</t>
  </si>
  <si>
    <t>99su134</t>
  </si>
  <si>
    <t>59su129</t>
  </si>
  <si>
    <t>37su143</t>
  </si>
  <si>
    <t>50su65</t>
  </si>
  <si>
    <t>39su86</t>
  </si>
  <si>
    <t>8su32</t>
  </si>
  <si>
    <t>11su33</t>
  </si>
  <si>
    <t>71su125</t>
  </si>
  <si>
    <t>100su272</t>
  </si>
  <si>
    <t>27su37</t>
  </si>
  <si>
    <t>46su100</t>
  </si>
  <si>
    <t>55su172</t>
  </si>
  <si>
    <t>15su20</t>
  </si>
  <si>
    <t>9su21</t>
  </si>
  <si>
    <t>22su61</t>
  </si>
  <si>
    <t>38su55</t>
  </si>
  <si>
    <t>44su100</t>
  </si>
  <si>
    <t>26su74</t>
  </si>
  <si>
    <t>14su28</t>
  </si>
  <si>
    <t>28su61</t>
  </si>
  <si>
    <t>12su40</t>
  </si>
  <si>
    <t>22su35</t>
  </si>
  <si>
    <t>79su168</t>
  </si>
  <si>
    <t>61su133</t>
  </si>
  <si>
    <t>127su237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</si>
</sst>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  <numFmt numFmtId="167" formatCode="h\.mm\.ss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16</xdr:col>
      <xdr:colOff>76200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010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0"/>
  <sheetViews>
    <sheetView tabSelected="1" workbookViewId="0" topLeftCell="B7">
      <selection activeCell="R44" sqref="R44"/>
    </sheetView>
  </sheetViews>
  <sheetFormatPr defaultColWidth="9.140625" defaultRowHeight="12.75"/>
  <cols>
    <col min="1" max="1" width="9.8515625" style="0" customWidth="1"/>
    <col min="2" max="2" width="22.8515625" style="0" customWidth="1"/>
    <col min="3" max="3" width="4.7109375" style="0" customWidth="1"/>
    <col min="4" max="4" width="4.8515625" style="0" customWidth="1"/>
    <col min="5" max="5" width="6.8515625" style="0" customWidth="1"/>
    <col min="6" max="7" width="4.8515625" style="0" customWidth="1"/>
    <col min="8" max="8" width="7.00390625" style="0" customWidth="1"/>
    <col min="9" max="10" width="4.8515625" style="0" customWidth="1"/>
    <col min="11" max="11" width="7.7109375" style="0" customWidth="1"/>
    <col min="12" max="12" width="6.8515625" style="0" customWidth="1"/>
    <col min="13" max="13" width="6.140625" style="0" customWidth="1"/>
    <col min="14" max="14" width="5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5.8515625" style="0" customWidth="1"/>
    <col min="19" max="19" width="5.140625" style="0" customWidth="1"/>
    <col min="20" max="20" width="5.57421875" style="0" customWidth="1"/>
    <col min="21" max="21" width="6.8515625" style="0" customWidth="1"/>
    <col min="22" max="22" width="4.8515625" style="0" customWidth="1"/>
    <col min="23" max="23" width="5.57421875" style="0" customWidth="1"/>
  </cols>
  <sheetData>
    <row r="1" spans="2:20" ht="12.75">
      <c r="B1" s="1"/>
      <c r="C1" s="1"/>
      <c r="D1" s="1"/>
      <c r="N1" s="2"/>
      <c r="R1" s="2"/>
      <c r="S1" s="2"/>
      <c r="T1" s="2"/>
    </row>
    <row r="2" spans="14:20" ht="12.75">
      <c r="N2" s="2"/>
      <c r="R2" s="2"/>
      <c r="S2" s="2"/>
      <c r="T2" s="2"/>
    </row>
    <row r="3" spans="14:20" ht="12.75">
      <c r="N3" s="2"/>
      <c r="R3" s="2"/>
      <c r="S3" s="2"/>
      <c r="T3" s="2"/>
    </row>
    <row r="4" spans="14:20" ht="12.75">
      <c r="N4" s="2"/>
      <c r="R4" s="2"/>
      <c r="S4" s="2"/>
      <c r="T4" s="2"/>
    </row>
    <row r="5" spans="14:20" ht="12.75">
      <c r="N5" s="2"/>
      <c r="R5" s="2"/>
      <c r="S5" s="2"/>
      <c r="T5" s="2"/>
    </row>
    <row r="6" spans="14:20" ht="12.75">
      <c r="N6" s="2"/>
      <c r="R6" s="2"/>
      <c r="S6" s="2"/>
      <c r="T6" s="2"/>
    </row>
    <row r="7" spans="14:20" ht="12.75">
      <c r="N7" s="2"/>
      <c r="R7" s="2"/>
      <c r="S7" s="2"/>
      <c r="T7" s="2"/>
    </row>
    <row r="8" spans="3:20" ht="12.75">
      <c r="C8" s="53" t="s">
        <v>42</v>
      </c>
      <c r="D8" s="54"/>
      <c r="F8" s="51" t="s">
        <v>43</v>
      </c>
      <c r="G8" s="52"/>
      <c r="I8" s="55" t="s">
        <v>44</v>
      </c>
      <c r="J8" s="56"/>
      <c r="N8" s="2"/>
      <c r="R8" s="2"/>
      <c r="S8" s="2"/>
      <c r="T8" s="2"/>
    </row>
    <row r="9" spans="1:21" ht="12.75">
      <c r="A9" s="34" t="s">
        <v>0</v>
      </c>
      <c r="B9" s="4" t="s">
        <v>1</v>
      </c>
      <c r="C9" s="4" t="s">
        <v>41</v>
      </c>
      <c r="D9" s="4" t="s">
        <v>40</v>
      </c>
      <c r="E9" s="4" t="s">
        <v>2</v>
      </c>
      <c r="F9" s="4" t="s">
        <v>41</v>
      </c>
      <c r="G9" s="4" t="s">
        <v>40</v>
      </c>
      <c r="H9" s="4" t="s">
        <v>4</v>
      </c>
      <c r="I9" s="4" t="s">
        <v>41</v>
      </c>
      <c r="J9" s="4" t="s">
        <v>40</v>
      </c>
      <c r="K9" s="4" t="s">
        <v>5</v>
      </c>
      <c r="L9" s="34" t="s">
        <v>6</v>
      </c>
      <c r="M9" s="34" t="s">
        <v>7</v>
      </c>
      <c r="N9" s="5" t="s">
        <v>8</v>
      </c>
      <c r="O9" s="4" t="s">
        <v>9</v>
      </c>
      <c r="P9" s="4" t="s">
        <v>45</v>
      </c>
      <c r="Q9" s="4" t="s">
        <v>46</v>
      </c>
      <c r="R9" s="5" t="s">
        <v>10</v>
      </c>
      <c r="S9" s="5" t="s">
        <v>47</v>
      </c>
      <c r="T9" s="5" t="s">
        <v>53</v>
      </c>
      <c r="U9" s="7" t="s">
        <v>11</v>
      </c>
    </row>
    <row r="10" spans="1:29" ht="12.75">
      <c r="A10" s="17" t="s">
        <v>89</v>
      </c>
      <c r="B10" s="13" t="s">
        <v>66</v>
      </c>
      <c r="C10" s="9">
        <v>21</v>
      </c>
      <c r="D10" s="9">
        <v>42</v>
      </c>
      <c r="E10" s="10">
        <f>21/42</f>
        <v>0.5</v>
      </c>
      <c r="F10" s="11">
        <v>3</v>
      </c>
      <c r="G10" s="11">
        <v>15</v>
      </c>
      <c r="H10" s="10">
        <f>3/15</f>
        <v>0.2</v>
      </c>
      <c r="I10" s="11">
        <v>10</v>
      </c>
      <c r="J10" s="11">
        <v>16</v>
      </c>
      <c r="K10" s="10">
        <f>10/16</f>
        <v>0.625</v>
      </c>
      <c r="L10" s="9">
        <v>22</v>
      </c>
      <c r="M10" s="9">
        <v>8</v>
      </c>
      <c r="N10" s="11">
        <v>17</v>
      </c>
      <c r="O10" s="9">
        <v>19</v>
      </c>
      <c r="P10" s="9">
        <v>17</v>
      </c>
      <c r="Q10" s="9">
        <v>16</v>
      </c>
      <c r="R10" s="11">
        <v>8</v>
      </c>
      <c r="S10" s="11">
        <v>1</v>
      </c>
      <c r="T10" s="11">
        <v>2</v>
      </c>
      <c r="U10" s="9">
        <v>60</v>
      </c>
      <c r="V10" s="1"/>
      <c r="W10" s="1"/>
      <c r="X10" s="1"/>
      <c r="Y10" s="1"/>
      <c r="Z10" s="1"/>
      <c r="AA10" s="1"/>
      <c r="AB10" s="1"/>
      <c r="AC10" s="1"/>
    </row>
    <row r="11" spans="1:29" ht="12.75">
      <c r="A11" s="17" t="s">
        <v>88</v>
      </c>
      <c r="B11" s="59" t="s">
        <v>56</v>
      </c>
      <c r="C11" s="9">
        <v>16</v>
      </c>
      <c r="D11" s="9">
        <v>32</v>
      </c>
      <c r="E11" s="10">
        <f>16/32</f>
        <v>0.5</v>
      </c>
      <c r="F11" s="11">
        <v>3</v>
      </c>
      <c r="G11" s="11">
        <v>15</v>
      </c>
      <c r="H11" s="10">
        <f>3/15</f>
        <v>0.2</v>
      </c>
      <c r="I11" s="11">
        <v>15</v>
      </c>
      <c r="J11" s="11">
        <v>30</v>
      </c>
      <c r="K11" s="10">
        <f>15/30</f>
        <v>0.5</v>
      </c>
      <c r="L11" s="9">
        <v>24</v>
      </c>
      <c r="M11" s="70">
        <v>4</v>
      </c>
      <c r="N11" s="11">
        <v>23</v>
      </c>
      <c r="O11" s="9">
        <v>16</v>
      </c>
      <c r="P11" s="9">
        <v>20</v>
      </c>
      <c r="Q11" s="9">
        <v>24</v>
      </c>
      <c r="R11" s="11">
        <v>5</v>
      </c>
      <c r="S11" s="72">
        <v>0</v>
      </c>
      <c r="T11" s="11">
        <v>2</v>
      </c>
      <c r="U11" s="9">
        <v>41</v>
      </c>
      <c r="V11" s="1"/>
      <c r="W11" s="1"/>
      <c r="X11" s="1"/>
      <c r="Y11" s="1"/>
      <c r="Z11" s="1"/>
      <c r="AA11" s="1"/>
      <c r="AB11" s="1"/>
      <c r="AC11" s="1"/>
    </row>
    <row r="12" spans="1:29" ht="12.75">
      <c r="A12" s="17" t="s">
        <v>87</v>
      </c>
      <c r="B12" s="13" t="s">
        <v>65</v>
      </c>
      <c r="C12" s="9">
        <v>15</v>
      </c>
      <c r="D12" s="9">
        <v>35</v>
      </c>
      <c r="E12" s="10">
        <f>15/35</f>
        <v>0.42857142857142855</v>
      </c>
      <c r="F12" s="11">
        <v>7</v>
      </c>
      <c r="G12" s="11">
        <v>22</v>
      </c>
      <c r="H12" s="10">
        <f>7/22</f>
        <v>0.3181818181818182</v>
      </c>
      <c r="I12" s="11">
        <v>15</v>
      </c>
      <c r="J12" s="11">
        <v>25</v>
      </c>
      <c r="K12" s="10">
        <f>15/25</f>
        <v>0.6</v>
      </c>
      <c r="L12" s="9">
        <v>22</v>
      </c>
      <c r="M12" s="73">
        <v>4</v>
      </c>
      <c r="N12" s="11">
        <v>13</v>
      </c>
      <c r="O12" s="9">
        <v>21</v>
      </c>
      <c r="P12" s="9">
        <v>27</v>
      </c>
      <c r="Q12" s="9">
        <v>23</v>
      </c>
      <c r="R12" s="11">
        <v>5</v>
      </c>
      <c r="S12" s="11">
        <v>1</v>
      </c>
      <c r="T12" s="11">
        <v>5</v>
      </c>
      <c r="U12" s="17">
        <v>52</v>
      </c>
      <c r="V12" s="1"/>
      <c r="W12" s="1"/>
      <c r="X12" s="1"/>
      <c r="Y12" s="1"/>
      <c r="Z12" s="1"/>
      <c r="AA12" s="1"/>
      <c r="AB12" s="1"/>
      <c r="AC12" s="1"/>
    </row>
    <row r="13" spans="1:29" ht="12.75">
      <c r="A13" s="17" t="s">
        <v>86</v>
      </c>
      <c r="B13" s="13" t="s">
        <v>64</v>
      </c>
      <c r="C13" s="13">
        <v>18</v>
      </c>
      <c r="D13" s="75">
        <v>48</v>
      </c>
      <c r="E13" s="10">
        <f>18/48</f>
        <v>0.375</v>
      </c>
      <c r="F13" s="11">
        <v>3</v>
      </c>
      <c r="G13" s="72">
        <v>8</v>
      </c>
      <c r="H13" s="10">
        <f>3/8</f>
        <v>0.375</v>
      </c>
      <c r="I13" s="11">
        <v>17</v>
      </c>
      <c r="J13" s="11">
        <v>26</v>
      </c>
      <c r="K13" s="10">
        <f>17/26</f>
        <v>0.6538461538461539</v>
      </c>
      <c r="L13" s="9">
        <v>24</v>
      </c>
      <c r="M13" s="9">
        <v>13</v>
      </c>
      <c r="N13" s="11">
        <v>17</v>
      </c>
      <c r="O13" s="9">
        <v>16</v>
      </c>
      <c r="P13" s="9">
        <v>20</v>
      </c>
      <c r="Q13" s="9">
        <v>20</v>
      </c>
      <c r="R13" s="11">
        <v>6</v>
      </c>
      <c r="S13" s="72">
        <v>0</v>
      </c>
      <c r="T13" s="11">
        <v>4</v>
      </c>
      <c r="U13" s="13">
        <v>56</v>
      </c>
      <c r="V13" s="1"/>
      <c r="W13" s="1"/>
      <c r="X13" s="1"/>
      <c r="Y13" s="1"/>
      <c r="Z13" s="1"/>
      <c r="AA13" s="1"/>
      <c r="AB13" s="1"/>
      <c r="AC13" s="1"/>
    </row>
    <row r="14" spans="1:29" ht="12.75">
      <c r="A14" s="17" t="s">
        <v>85</v>
      </c>
      <c r="B14" s="9" t="s">
        <v>57</v>
      </c>
      <c r="C14" s="13">
        <v>19</v>
      </c>
      <c r="D14" s="13">
        <v>41</v>
      </c>
      <c r="E14" s="10">
        <f>19/41</f>
        <v>0.4634146341463415</v>
      </c>
      <c r="F14" s="11">
        <v>2</v>
      </c>
      <c r="G14" s="11">
        <v>16</v>
      </c>
      <c r="H14" s="10">
        <f>2/16</f>
        <v>0.125</v>
      </c>
      <c r="I14" s="11">
        <v>17</v>
      </c>
      <c r="J14" s="11">
        <v>24</v>
      </c>
      <c r="K14" s="10">
        <f>17/24</f>
        <v>0.7083333333333334</v>
      </c>
      <c r="L14" s="13">
        <v>18</v>
      </c>
      <c r="M14" s="13">
        <v>11</v>
      </c>
      <c r="N14" s="14">
        <v>20</v>
      </c>
      <c r="O14" s="13">
        <v>26</v>
      </c>
      <c r="P14" s="13">
        <v>17</v>
      </c>
      <c r="Q14" s="13">
        <v>17</v>
      </c>
      <c r="R14" s="14">
        <v>7</v>
      </c>
      <c r="S14" s="14">
        <v>2</v>
      </c>
      <c r="T14" s="77">
        <v>0</v>
      </c>
      <c r="U14" s="9">
        <v>62</v>
      </c>
      <c r="V14" s="1"/>
      <c r="W14" s="1"/>
      <c r="X14" s="1"/>
      <c r="Y14" s="1"/>
      <c r="Z14" s="1"/>
      <c r="AA14" s="1"/>
      <c r="AB14" s="1"/>
      <c r="AC14" s="1"/>
    </row>
    <row r="15" spans="1:29" ht="12.75">
      <c r="A15" s="17" t="s">
        <v>84</v>
      </c>
      <c r="B15" s="9" t="s">
        <v>60</v>
      </c>
      <c r="C15" s="13">
        <v>19</v>
      </c>
      <c r="D15" s="13">
        <v>42</v>
      </c>
      <c r="E15" s="10">
        <f>19/42</f>
        <v>0.4523809523809524</v>
      </c>
      <c r="F15" s="11">
        <v>7</v>
      </c>
      <c r="G15" s="11">
        <v>17</v>
      </c>
      <c r="H15" s="10">
        <f>7/17</f>
        <v>0.4117647058823529</v>
      </c>
      <c r="I15" s="11">
        <v>10</v>
      </c>
      <c r="J15" s="11">
        <v>14</v>
      </c>
      <c r="K15" s="10">
        <f>10/14</f>
        <v>0.7142857142857143</v>
      </c>
      <c r="L15" s="13">
        <v>18</v>
      </c>
      <c r="M15" s="13">
        <v>6</v>
      </c>
      <c r="N15" s="14">
        <v>21</v>
      </c>
      <c r="O15" s="13">
        <v>14</v>
      </c>
      <c r="P15" s="13">
        <v>26</v>
      </c>
      <c r="Q15" s="13">
        <v>13</v>
      </c>
      <c r="R15" s="14">
        <v>12</v>
      </c>
      <c r="S15" s="14">
        <v>2</v>
      </c>
      <c r="T15" s="77">
        <v>0</v>
      </c>
      <c r="U15" s="9">
        <v>50</v>
      </c>
      <c r="V15" s="1"/>
      <c r="W15" s="1"/>
      <c r="X15" s="1"/>
      <c r="Y15" s="1"/>
      <c r="Z15" s="1"/>
      <c r="AA15" s="1"/>
      <c r="AB15" s="1"/>
      <c r="AC15" s="1"/>
    </row>
    <row r="16" spans="1:29" ht="12.75">
      <c r="A16" s="17" t="s">
        <v>83</v>
      </c>
      <c r="B16" s="13" t="s">
        <v>63</v>
      </c>
      <c r="C16" s="13">
        <v>18</v>
      </c>
      <c r="D16" s="13">
        <v>43</v>
      </c>
      <c r="E16" s="10">
        <f>18/43</f>
        <v>0.4186046511627907</v>
      </c>
      <c r="F16" s="11">
        <v>1</v>
      </c>
      <c r="G16" s="11">
        <v>9</v>
      </c>
      <c r="H16" s="10">
        <f>1/9</f>
        <v>0.1111111111111111</v>
      </c>
      <c r="I16" s="11">
        <v>21</v>
      </c>
      <c r="J16" s="29">
        <v>32</v>
      </c>
      <c r="K16" s="10">
        <f>21/32</f>
        <v>0.65625</v>
      </c>
      <c r="L16" s="16">
        <v>21</v>
      </c>
      <c r="M16" s="13">
        <v>5</v>
      </c>
      <c r="N16" s="14">
        <v>15</v>
      </c>
      <c r="O16" s="13">
        <v>18</v>
      </c>
      <c r="P16" s="13">
        <v>19</v>
      </c>
      <c r="Q16" s="13">
        <v>22</v>
      </c>
      <c r="R16" s="38">
        <v>10</v>
      </c>
      <c r="S16" s="38">
        <v>1</v>
      </c>
      <c r="T16" s="38">
        <v>1</v>
      </c>
      <c r="U16" s="9">
        <v>58</v>
      </c>
      <c r="V16" s="1"/>
      <c r="W16" s="1"/>
      <c r="X16" s="1"/>
      <c r="Y16" s="1"/>
      <c r="Z16" s="1"/>
      <c r="AA16" s="1"/>
      <c r="AB16" s="1"/>
      <c r="AC16" s="1"/>
    </row>
    <row r="17" spans="1:29" ht="12.75">
      <c r="A17" s="17" t="s">
        <v>82</v>
      </c>
      <c r="B17" s="13" t="s">
        <v>54</v>
      </c>
      <c r="C17" s="13">
        <v>19</v>
      </c>
      <c r="D17" s="13">
        <v>40</v>
      </c>
      <c r="E17" s="10">
        <f>19/40</f>
        <v>0.475</v>
      </c>
      <c r="F17" s="11">
        <v>5</v>
      </c>
      <c r="G17" s="11">
        <v>17</v>
      </c>
      <c r="H17" s="10">
        <f>5/17</f>
        <v>0.29411764705882354</v>
      </c>
      <c r="I17" s="11">
        <v>23</v>
      </c>
      <c r="J17" s="11">
        <v>35</v>
      </c>
      <c r="K17" s="10">
        <f>23/35</f>
        <v>0.6571428571428571</v>
      </c>
      <c r="L17" s="13">
        <v>22</v>
      </c>
      <c r="M17" s="13">
        <v>8</v>
      </c>
      <c r="N17" s="14">
        <v>17</v>
      </c>
      <c r="O17" s="75">
        <v>27</v>
      </c>
      <c r="P17" s="75">
        <v>14</v>
      </c>
      <c r="Q17" s="13">
        <v>21</v>
      </c>
      <c r="R17" s="14">
        <v>6</v>
      </c>
      <c r="S17" s="14">
        <v>1</v>
      </c>
      <c r="T17" s="14">
        <v>3</v>
      </c>
      <c r="U17" s="9">
        <v>82</v>
      </c>
      <c r="V17" s="1"/>
      <c r="W17" s="1"/>
      <c r="X17" s="1"/>
      <c r="Y17" s="1"/>
      <c r="Z17" s="1"/>
      <c r="AA17" s="1"/>
      <c r="AB17" s="1"/>
      <c r="AC17" s="1"/>
    </row>
    <row r="18" spans="1:29" ht="12.75">
      <c r="A18" s="17" t="s">
        <v>90</v>
      </c>
      <c r="B18" s="9" t="s">
        <v>59</v>
      </c>
      <c r="C18" s="13">
        <v>22</v>
      </c>
      <c r="D18" s="13">
        <v>40</v>
      </c>
      <c r="E18" s="10">
        <f>22/40</f>
        <v>0.55</v>
      </c>
      <c r="F18" s="11">
        <v>3</v>
      </c>
      <c r="G18" s="11">
        <v>16</v>
      </c>
      <c r="H18" s="10">
        <f>3/16</f>
        <v>0.1875</v>
      </c>
      <c r="I18" s="11">
        <v>17</v>
      </c>
      <c r="J18" s="11">
        <v>21</v>
      </c>
      <c r="K18" s="10">
        <f>17/21</f>
        <v>0.8095238095238095</v>
      </c>
      <c r="L18" s="9">
        <v>23</v>
      </c>
      <c r="M18" s="9">
        <v>9</v>
      </c>
      <c r="N18" s="72">
        <v>24</v>
      </c>
      <c r="O18" s="9">
        <v>24</v>
      </c>
      <c r="P18" s="9">
        <v>18</v>
      </c>
      <c r="Q18" s="9">
        <v>21</v>
      </c>
      <c r="R18" s="11">
        <v>8</v>
      </c>
      <c r="S18" s="72">
        <v>0</v>
      </c>
      <c r="T18" s="11">
        <v>2</v>
      </c>
      <c r="U18" s="9">
        <v>76</v>
      </c>
      <c r="V18" s="1"/>
      <c r="W18" s="1"/>
      <c r="X18" s="1"/>
      <c r="Y18" s="1"/>
      <c r="Z18" s="1"/>
      <c r="AA18" s="1"/>
      <c r="AB18" s="1"/>
      <c r="AC18" s="1"/>
    </row>
    <row r="19" spans="1:29" ht="12.75">
      <c r="A19" s="17" t="s">
        <v>91</v>
      </c>
      <c r="B19" s="9" t="s">
        <v>73</v>
      </c>
      <c r="C19" s="9">
        <v>20</v>
      </c>
      <c r="D19" s="9">
        <v>42</v>
      </c>
      <c r="E19" s="10">
        <f>20/42</f>
        <v>0.47619047619047616</v>
      </c>
      <c r="F19" s="11">
        <v>3</v>
      </c>
      <c r="G19" s="11">
        <v>16</v>
      </c>
      <c r="H19" s="10">
        <f>3/16</f>
        <v>0.1875</v>
      </c>
      <c r="I19" s="11">
        <v>21</v>
      </c>
      <c r="J19" s="76">
        <v>38</v>
      </c>
      <c r="K19" s="10">
        <f>21/38</f>
        <v>0.5526315789473685</v>
      </c>
      <c r="L19" s="9">
        <v>19</v>
      </c>
      <c r="M19" s="9">
        <v>8</v>
      </c>
      <c r="N19" s="29">
        <v>17</v>
      </c>
      <c r="O19" s="9">
        <v>23</v>
      </c>
      <c r="P19" s="9">
        <v>20</v>
      </c>
      <c r="Q19" s="9">
        <v>24</v>
      </c>
      <c r="R19" s="11">
        <v>8</v>
      </c>
      <c r="S19" s="72">
        <v>0</v>
      </c>
      <c r="T19" s="11">
        <v>1</v>
      </c>
      <c r="U19" s="9">
        <v>62</v>
      </c>
      <c r="V19" s="1"/>
      <c r="W19" s="1"/>
      <c r="X19" s="1"/>
      <c r="Y19" s="1"/>
      <c r="Z19" s="1"/>
      <c r="AA19" s="1"/>
      <c r="AB19" s="1"/>
      <c r="AC19" s="1"/>
    </row>
    <row r="20" spans="1:29" ht="12.75">
      <c r="A20" s="17" t="s">
        <v>92</v>
      </c>
      <c r="B20" s="13" t="s">
        <v>55</v>
      </c>
      <c r="C20" s="9">
        <v>20</v>
      </c>
      <c r="D20" s="9">
        <v>45</v>
      </c>
      <c r="E20" s="10">
        <f>20/45</f>
        <v>0.4444444444444444</v>
      </c>
      <c r="F20" s="11">
        <v>3</v>
      </c>
      <c r="G20" s="11">
        <v>17</v>
      </c>
      <c r="H20" s="10">
        <f>3/17</f>
        <v>0.17647058823529413</v>
      </c>
      <c r="I20" s="11">
        <v>15</v>
      </c>
      <c r="J20" s="11">
        <v>23</v>
      </c>
      <c r="K20" s="10">
        <f>15/23</f>
        <v>0.6521739130434783</v>
      </c>
      <c r="L20" s="9">
        <v>24</v>
      </c>
      <c r="M20" s="74">
        <v>14</v>
      </c>
      <c r="N20" s="11">
        <v>22</v>
      </c>
      <c r="O20" s="9">
        <v>24</v>
      </c>
      <c r="P20" s="9">
        <v>18</v>
      </c>
      <c r="Q20" s="9">
        <v>18</v>
      </c>
      <c r="R20" s="11">
        <v>6</v>
      </c>
      <c r="S20" s="72">
        <v>0</v>
      </c>
      <c r="T20" s="11">
        <v>3</v>
      </c>
      <c r="U20" s="9">
        <v>60</v>
      </c>
      <c r="V20" s="1"/>
      <c r="W20" s="1"/>
      <c r="X20" s="1"/>
      <c r="Y20" s="1"/>
      <c r="Z20" s="1"/>
      <c r="AA20" s="1"/>
      <c r="AB20" s="1"/>
      <c r="AC20" s="1"/>
    </row>
    <row r="21" spans="1:29" ht="12.75">
      <c r="A21" s="17" t="s">
        <v>93</v>
      </c>
      <c r="B21" s="9" t="s">
        <v>58</v>
      </c>
      <c r="C21" s="9">
        <v>16</v>
      </c>
      <c r="D21" s="9">
        <v>41</v>
      </c>
      <c r="E21" s="10">
        <f>16/41</f>
        <v>0.3902439024390244</v>
      </c>
      <c r="F21" s="72">
        <v>0</v>
      </c>
      <c r="G21" s="11">
        <v>9</v>
      </c>
      <c r="H21" s="71">
        <v>0</v>
      </c>
      <c r="I21" s="11">
        <v>15</v>
      </c>
      <c r="J21" s="11">
        <v>30</v>
      </c>
      <c r="K21" s="10">
        <v>0.5</v>
      </c>
      <c r="L21" s="70">
        <v>10</v>
      </c>
      <c r="M21" s="9">
        <v>7</v>
      </c>
      <c r="N21" s="11">
        <v>22</v>
      </c>
      <c r="O21" s="9">
        <v>15</v>
      </c>
      <c r="P21" s="9">
        <v>21</v>
      </c>
      <c r="Q21" s="9">
        <v>22</v>
      </c>
      <c r="R21" s="11">
        <v>2</v>
      </c>
      <c r="S21" s="72">
        <v>0</v>
      </c>
      <c r="T21" s="11">
        <v>1</v>
      </c>
      <c r="U21" s="70">
        <v>10</v>
      </c>
      <c r="V21" s="1"/>
      <c r="W21" s="1"/>
      <c r="X21" s="1"/>
      <c r="Y21" s="1"/>
      <c r="Z21" s="1"/>
      <c r="AA21" s="1"/>
      <c r="AB21" s="1"/>
      <c r="AC21" s="1"/>
    </row>
    <row r="22" spans="1:29" ht="12.75">
      <c r="A22" s="17" t="s">
        <v>94</v>
      </c>
      <c r="B22" s="9" t="s">
        <v>74</v>
      </c>
      <c r="C22" s="17">
        <v>14</v>
      </c>
      <c r="D22" s="70">
        <v>29</v>
      </c>
      <c r="E22" s="10">
        <f>14/29</f>
        <v>0.4827586206896552</v>
      </c>
      <c r="F22" s="11">
        <v>12</v>
      </c>
      <c r="G22" s="11">
        <v>30</v>
      </c>
      <c r="H22" s="10">
        <f>12/30</f>
        <v>0.4</v>
      </c>
      <c r="I22" s="11">
        <v>15</v>
      </c>
      <c r="J22" s="11">
        <v>26</v>
      </c>
      <c r="K22" s="10">
        <f>15/26</f>
        <v>0.5769230769230769</v>
      </c>
      <c r="L22" s="9">
        <v>22</v>
      </c>
      <c r="M22" s="9">
        <v>6</v>
      </c>
      <c r="N22" s="11">
        <v>10</v>
      </c>
      <c r="O22" s="9">
        <v>26</v>
      </c>
      <c r="P22" s="9">
        <v>26</v>
      </c>
      <c r="Q22" s="9">
        <v>22</v>
      </c>
      <c r="R22" s="11">
        <v>7</v>
      </c>
      <c r="S22" s="72">
        <v>0</v>
      </c>
      <c r="T22" s="11">
        <v>4</v>
      </c>
      <c r="U22" s="9">
        <v>78</v>
      </c>
      <c r="V22" s="1"/>
      <c r="W22" s="1"/>
      <c r="X22" s="1"/>
      <c r="Y22" s="1"/>
      <c r="Z22" s="1"/>
      <c r="AA22" s="1"/>
      <c r="AB22" s="1"/>
      <c r="AC22" s="1"/>
    </row>
    <row r="23" spans="1:29" ht="12.75">
      <c r="A23" s="17" t="s">
        <v>99</v>
      </c>
      <c r="B23" s="13" t="s">
        <v>76</v>
      </c>
      <c r="C23" s="9">
        <v>16</v>
      </c>
      <c r="D23" s="9">
        <v>46</v>
      </c>
      <c r="E23" s="10">
        <f>16/46</f>
        <v>0.34782608695652173</v>
      </c>
      <c r="F23" s="11">
        <v>3</v>
      </c>
      <c r="G23" s="11">
        <v>16</v>
      </c>
      <c r="H23" s="10">
        <f>3/16</f>
        <v>0.1875</v>
      </c>
      <c r="I23" s="11">
        <v>8</v>
      </c>
      <c r="J23" s="11">
        <v>15</v>
      </c>
      <c r="K23" s="10">
        <f>8/15</f>
        <v>0.5333333333333333</v>
      </c>
      <c r="L23" s="9">
        <v>23</v>
      </c>
      <c r="M23" s="9">
        <v>6</v>
      </c>
      <c r="N23" s="11">
        <v>11</v>
      </c>
      <c r="O23" s="9">
        <v>15</v>
      </c>
      <c r="P23" s="9">
        <v>17</v>
      </c>
      <c r="Q23" s="9">
        <v>14</v>
      </c>
      <c r="R23" s="11">
        <v>6</v>
      </c>
      <c r="S23" s="76">
        <v>3</v>
      </c>
      <c r="T23" s="11">
        <v>2</v>
      </c>
      <c r="U23" s="9">
        <v>36</v>
      </c>
      <c r="V23" s="1"/>
      <c r="W23" s="1"/>
      <c r="X23" s="1"/>
      <c r="Y23" s="1"/>
      <c r="Z23" s="1"/>
      <c r="AA23" s="1"/>
      <c r="AB23" s="1"/>
      <c r="AC23" s="1"/>
    </row>
    <row r="24" spans="1:29" ht="12.75">
      <c r="A24" s="17" t="s">
        <v>100</v>
      </c>
      <c r="B24" s="13" t="s">
        <v>75</v>
      </c>
      <c r="C24" s="13">
        <v>23</v>
      </c>
      <c r="D24" s="13">
        <v>46</v>
      </c>
      <c r="E24" s="10">
        <f>23/46</f>
        <v>0.5</v>
      </c>
      <c r="F24" s="11">
        <v>5</v>
      </c>
      <c r="G24" s="11">
        <v>15</v>
      </c>
      <c r="H24" s="10">
        <f>5/15</f>
        <v>0.3333333333333333</v>
      </c>
      <c r="I24" s="11">
        <v>6</v>
      </c>
      <c r="J24" s="11">
        <v>12</v>
      </c>
      <c r="K24" s="10">
        <f>6/12</f>
        <v>0.5</v>
      </c>
      <c r="L24" s="9">
        <v>29</v>
      </c>
      <c r="M24" s="9">
        <v>6</v>
      </c>
      <c r="N24" s="11">
        <v>13</v>
      </c>
      <c r="O24" s="9">
        <v>17</v>
      </c>
      <c r="P24" s="9">
        <v>17</v>
      </c>
      <c r="Q24" s="9">
        <v>16</v>
      </c>
      <c r="R24" s="11">
        <v>11</v>
      </c>
      <c r="S24" s="11">
        <v>2</v>
      </c>
      <c r="T24" s="11">
        <v>2</v>
      </c>
      <c r="U24" s="9">
        <v>77</v>
      </c>
      <c r="V24" s="1"/>
      <c r="W24" s="1"/>
      <c r="X24" s="1"/>
      <c r="Y24" s="1"/>
      <c r="Z24" s="1"/>
      <c r="AA24" s="1"/>
      <c r="AB24" s="1"/>
      <c r="AC24" s="1"/>
    </row>
    <row r="25" spans="1:29" ht="12.75">
      <c r="A25" s="17" t="s">
        <v>106</v>
      </c>
      <c r="B25" s="13" t="s">
        <v>107</v>
      </c>
      <c r="C25" s="13">
        <v>23</v>
      </c>
      <c r="D25" s="13">
        <v>43</v>
      </c>
      <c r="E25" s="18">
        <f>23/43</f>
        <v>0.5348837209302325</v>
      </c>
      <c r="F25" s="14">
        <v>2</v>
      </c>
      <c r="G25" s="14">
        <v>15</v>
      </c>
      <c r="H25" s="18">
        <f>2/15</f>
        <v>0.13333333333333333</v>
      </c>
      <c r="I25" s="14">
        <v>15</v>
      </c>
      <c r="J25" s="14">
        <v>19</v>
      </c>
      <c r="K25" s="18">
        <f>15/19</f>
        <v>0.7894736842105263</v>
      </c>
      <c r="L25" s="13">
        <v>15</v>
      </c>
      <c r="M25" s="13">
        <v>8</v>
      </c>
      <c r="N25" s="14">
        <v>16</v>
      </c>
      <c r="O25" s="13">
        <v>16</v>
      </c>
      <c r="P25" s="13">
        <v>29</v>
      </c>
      <c r="Q25" s="13">
        <v>23</v>
      </c>
      <c r="R25" s="14">
        <v>7</v>
      </c>
      <c r="S25" s="80">
        <v>0</v>
      </c>
      <c r="T25" s="77">
        <v>0</v>
      </c>
      <c r="U25" s="13">
        <v>54</v>
      </c>
      <c r="V25" s="1"/>
      <c r="W25" s="1"/>
      <c r="X25" s="1"/>
      <c r="Y25" s="1"/>
      <c r="Z25" s="1"/>
      <c r="AA25" s="1"/>
      <c r="AB25" s="1"/>
      <c r="AC25" s="1"/>
    </row>
    <row r="26" spans="1:29" ht="12.75">
      <c r="A26" s="17" t="s">
        <v>108</v>
      </c>
      <c r="B26" s="13" t="s">
        <v>109</v>
      </c>
      <c r="C26" s="13">
        <v>14</v>
      </c>
      <c r="D26" s="13">
        <v>35</v>
      </c>
      <c r="E26" s="18">
        <f>14/35</f>
        <v>0.4</v>
      </c>
      <c r="F26" s="14">
        <v>7</v>
      </c>
      <c r="G26" s="14">
        <v>21</v>
      </c>
      <c r="H26" s="18">
        <f>7/21</f>
        <v>0.3333333333333333</v>
      </c>
      <c r="I26" s="14">
        <v>13</v>
      </c>
      <c r="J26" s="14">
        <v>14</v>
      </c>
      <c r="K26" s="79">
        <f>13/14</f>
        <v>0.9285714285714286</v>
      </c>
      <c r="L26" s="75">
        <v>33</v>
      </c>
      <c r="M26" s="13">
        <v>7</v>
      </c>
      <c r="N26" s="14">
        <v>18</v>
      </c>
      <c r="O26" s="73">
        <v>9</v>
      </c>
      <c r="P26" s="13">
        <v>18</v>
      </c>
      <c r="Q26" s="13">
        <v>18</v>
      </c>
      <c r="R26" s="14">
        <v>6</v>
      </c>
      <c r="S26" s="14">
        <v>2</v>
      </c>
      <c r="T26" s="14">
        <v>3</v>
      </c>
      <c r="U26" s="13">
        <v>62</v>
      </c>
      <c r="V26" s="1"/>
      <c r="W26" s="1"/>
      <c r="X26" s="1"/>
      <c r="Y26" s="1"/>
      <c r="Z26" s="1"/>
      <c r="AA26" s="1"/>
      <c r="AB26" s="1"/>
      <c r="AC26" s="1"/>
    </row>
    <row r="27" spans="1:29" ht="12.75">
      <c r="A27" s="17" t="s">
        <v>110</v>
      </c>
      <c r="B27" s="13" t="s">
        <v>111</v>
      </c>
      <c r="C27" s="13">
        <v>20</v>
      </c>
      <c r="D27" s="13">
        <v>42</v>
      </c>
      <c r="E27" s="18">
        <f>20/42</f>
        <v>0.47619047619047616</v>
      </c>
      <c r="F27" s="14">
        <v>7</v>
      </c>
      <c r="G27" s="14">
        <v>20</v>
      </c>
      <c r="H27" s="18">
        <f>7/20</f>
        <v>0.35</v>
      </c>
      <c r="I27" s="14">
        <v>14</v>
      </c>
      <c r="J27" s="14">
        <v>23</v>
      </c>
      <c r="K27" s="18">
        <f>14/23</f>
        <v>0.6086956521739131</v>
      </c>
      <c r="L27" s="13">
        <v>20</v>
      </c>
      <c r="M27" s="13">
        <v>6</v>
      </c>
      <c r="N27" s="14">
        <v>17</v>
      </c>
      <c r="O27" s="13">
        <v>20</v>
      </c>
      <c r="P27" s="13">
        <v>24</v>
      </c>
      <c r="Q27" s="13">
        <v>18</v>
      </c>
      <c r="R27" s="77">
        <v>13</v>
      </c>
      <c r="S27" s="14">
        <v>2</v>
      </c>
      <c r="T27" s="14">
        <v>1</v>
      </c>
      <c r="U27" s="13">
        <v>68</v>
      </c>
      <c r="V27" s="1"/>
      <c r="W27" s="1"/>
      <c r="X27" s="1"/>
      <c r="Y27" s="1"/>
      <c r="Z27" s="1"/>
      <c r="AA27" s="1"/>
      <c r="AB27" s="1"/>
      <c r="AC27" s="1"/>
    </row>
    <row r="28" spans="1:29" ht="12.75">
      <c r="A28" s="17" t="s">
        <v>112</v>
      </c>
      <c r="B28" s="13" t="s">
        <v>113</v>
      </c>
      <c r="C28" s="13">
        <v>16</v>
      </c>
      <c r="D28" s="13">
        <v>43</v>
      </c>
      <c r="E28" s="18">
        <f>16/43</f>
        <v>0.37209302325581395</v>
      </c>
      <c r="F28" s="14">
        <v>3</v>
      </c>
      <c r="G28" s="14">
        <v>14</v>
      </c>
      <c r="H28" s="18">
        <f>3/14</f>
        <v>0.21428571428571427</v>
      </c>
      <c r="I28" s="14">
        <v>12</v>
      </c>
      <c r="J28" s="14">
        <v>22</v>
      </c>
      <c r="K28" s="18">
        <f>12/22</f>
        <v>0.5454545454545454</v>
      </c>
      <c r="L28" s="13">
        <v>22</v>
      </c>
      <c r="M28" s="13">
        <v>7</v>
      </c>
      <c r="N28" s="14">
        <v>16</v>
      </c>
      <c r="O28" s="13">
        <v>20</v>
      </c>
      <c r="P28" s="13">
        <v>27</v>
      </c>
      <c r="Q28" s="9">
        <v>24</v>
      </c>
      <c r="R28" s="14">
        <v>5</v>
      </c>
      <c r="S28" s="80">
        <v>0</v>
      </c>
      <c r="T28" s="77">
        <v>0</v>
      </c>
      <c r="U28" s="13">
        <v>40</v>
      </c>
      <c r="V28" s="1"/>
      <c r="W28" s="1"/>
      <c r="X28" s="1"/>
      <c r="Y28" s="1"/>
      <c r="Z28" s="1"/>
      <c r="AA28" s="1"/>
      <c r="AB28" s="1"/>
      <c r="AC28" s="1"/>
    </row>
    <row r="29" spans="1:29" ht="12.75">
      <c r="A29" s="17" t="s">
        <v>114</v>
      </c>
      <c r="B29" s="13" t="s">
        <v>115</v>
      </c>
      <c r="C29" s="13">
        <v>16</v>
      </c>
      <c r="D29" s="13">
        <v>42</v>
      </c>
      <c r="E29" s="18">
        <f>16/42</f>
        <v>0.38095238095238093</v>
      </c>
      <c r="F29" s="14">
        <v>5</v>
      </c>
      <c r="G29" s="14">
        <v>15</v>
      </c>
      <c r="H29" s="18">
        <f>5/15</f>
        <v>0.3333333333333333</v>
      </c>
      <c r="I29" s="14">
        <v>14</v>
      </c>
      <c r="J29" s="14">
        <v>19</v>
      </c>
      <c r="K29" s="18">
        <f>14/19</f>
        <v>0.7368421052631579</v>
      </c>
      <c r="L29" s="13">
        <v>28</v>
      </c>
      <c r="M29" s="13">
        <v>5</v>
      </c>
      <c r="N29" s="14">
        <v>16</v>
      </c>
      <c r="O29" s="13">
        <v>19</v>
      </c>
      <c r="P29" s="13">
        <v>26</v>
      </c>
      <c r="Q29" s="13">
        <v>20</v>
      </c>
      <c r="R29" s="14">
        <v>5</v>
      </c>
      <c r="S29" s="14">
        <v>1</v>
      </c>
      <c r="T29" s="14">
        <v>1</v>
      </c>
      <c r="U29" s="13">
        <v>55</v>
      </c>
      <c r="V29" s="1"/>
      <c r="W29" s="1"/>
      <c r="X29" s="1"/>
      <c r="Y29" s="1"/>
      <c r="Z29" s="1"/>
      <c r="AA29" s="1"/>
      <c r="AB29" s="1"/>
      <c r="AC29" s="1"/>
    </row>
    <row r="30" spans="1:29" ht="12.75">
      <c r="A30" s="17" t="s">
        <v>117</v>
      </c>
      <c r="B30" s="13" t="s">
        <v>116</v>
      </c>
      <c r="C30" s="13">
        <v>14</v>
      </c>
      <c r="D30" s="13">
        <v>37</v>
      </c>
      <c r="E30" s="18">
        <f>14/37</f>
        <v>0.3783783783783784</v>
      </c>
      <c r="F30" s="14">
        <v>4</v>
      </c>
      <c r="G30" s="14">
        <v>18</v>
      </c>
      <c r="H30" s="18">
        <f>4/18</f>
        <v>0.2222222222222222</v>
      </c>
      <c r="I30" s="14">
        <v>19</v>
      </c>
      <c r="J30" s="14">
        <v>30</v>
      </c>
      <c r="K30" s="18">
        <f>19/30</f>
        <v>0.6333333333333333</v>
      </c>
      <c r="L30" s="13">
        <v>23</v>
      </c>
      <c r="M30" s="13">
        <v>9</v>
      </c>
      <c r="N30" s="14">
        <v>12</v>
      </c>
      <c r="O30" s="13">
        <v>11</v>
      </c>
      <c r="P30" s="13">
        <v>28</v>
      </c>
      <c r="Q30" s="13">
        <v>25</v>
      </c>
      <c r="R30" s="14">
        <v>5</v>
      </c>
      <c r="S30" s="80">
        <v>0</v>
      </c>
      <c r="T30" s="14">
        <v>1</v>
      </c>
      <c r="U30" s="13">
        <v>43</v>
      </c>
      <c r="V30" s="1"/>
      <c r="W30" s="1"/>
      <c r="X30" s="1"/>
      <c r="Y30" s="1"/>
      <c r="Z30" s="1"/>
      <c r="AA30" s="1"/>
      <c r="AB30" s="1"/>
      <c r="AC30" s="1"/>
    </row>
    <row r="31" spans="1:29" ht="12.75">
      <c r="A31" s="17" t="s">
        <v>118</v>
      </c>
      <c r="B31" s="13" t="s">
        <v>119</v>
      </c>
      <c r="C31" s="13">
        <v>14</v>
      </c>
      <c r="D31" s="13">
        <v>33</v>
      </c>
      <c r="E31" s="18">
        <f>14/33</f>
        <v>0.42424242424242425</v>
      </c>
      <c r="F31" s="14">
        <v>9</v>
      </c>
      <c r="G31" s="14">
        <v>20</v>
      </c>
      <c r="H31" s="18">
        <f>9/20</f>
        <v>0.45</v>
      </c>
      <c r="I31" s="14">
        <v>16</v>
      </c>
      <c r="J31" s="14">
        <v>25</v>
      </c>
      <c r="K31" s="18">
        <f>16/25</f>
        <v>0.64</v>
      </c>
      <c r="L31" s="13">
        <v>19</v>
      </c>
      <c r="M31" s="13">
        <v>7</v>
      </c>
      <c r="N31" s="14">
        <v>19</v>
      </c>
      <c r="O31" s="13">
        <v>23</v>
      </c>
      <c r="P31" s="13">
        <v>15</v>
      </c>
      <c r="Q31" s="13">
        <v>18</v>
      </c>
      <c r="R31" s="14">
        <v>11</v>
      </c>
      <c r="S31" s="14">
        <v>1</v>
      </c>
      <c r="T31" s="14">
        <v>4</v>
      </c>
      <c r="U31" s="13">
        <v>73</v>
      </c>
      <c r="V31" s="1"/>
      <c r="W31" s="1"/>
      <c r="X31" s="1"/>
      <c r="Y31" s="1"/>
      <c r="Z31" s="1"/>
      <c r="AA31" s="1"/>
      <c r="AB31" s="1"/>
      <c r="AC31" s="1"/>
    </row>
    <row r="32" spans="1:29" ht="12.75">
      <c r="A32" s="17" t="s">
        <v>120</v>
      </c>
      <c r="B32" s="13" t="s">
        <v>121</v>
      </c>
      <c r="C32" s="13">
        <v>18</v>
      </c>
      <c r="D32" s="13">
        <v>40</v>
      </c>
      <c r="E32" s="18">
        <f>18/40</f>
        <v>0.45</v>
      </c>
      <c r="F32" s="14">
        <v>3</v>
      </c>
      <c r="G32" s="14">
        <v>15</v>
      </c>
      <c r="H32" s="18">
        <f>3/15</f>
        <v>0.2</v>
      </c>
      <c r="I32" s="14">
        <v>6</v>
      </c>
      <c r="J32" s="14">
        <v>17</v>
      </c>
      <c r="K32" s="81">
        <f>6/17</f>
        <v>0.35294117647058826</v>
      </c>
      <c r="L32" s="13">
        <v>30</v>
      </c>
      <c r="M32" s="13">
        <v>5</v>
      </c>
      <c r="N32" s="14">
        <v>16</v>
      </c>
      <c r="O32" s="13">
        <v>17</v>
      </c>
      <c r="P32" s="13">
        <v>16</v>
      </c>
      <c r="Q32" s="13">
        <v>18</v>
      </c>
      <c r="R32" s="14">
        <v>10</v>
      </c>
      <c r="S32" s="14">
        <v>2</v>
      </c>
      <c r="T32" s="14">
        <v>1</v>
      </c>
      <c r="U32" s="13">
        <v>55</v>
      </c>
      <c r="V32" s="1"/>
      <c r="W32" s="1"/>
      <c r="X32" s="1"/>
      <c r="Y32" s="1"/>
      <c r="Z32" s="1"/>
      <c r="AA32" s="1"/>
      <c r="AB32" s="1"/>
      <c r="AC32" s="1"/>
    </row>
    <row r="33" spans="1:29" ht="12.75">
      <c r="A33" s="17" t="s">
        <v>122</v>
      </c>
      <c r="B33" s="13" t="s">
        <v>123</v>
      </c>
      <c r="C33" s="13">
        <v>19</v>
      </c>
      <c r="D33" s="13">
        <v>41</v>
      </c>
      <c r="E33" s="18">
        <f>19/41</f>
        <v>0.4634146341463415</v>
      </c>
      <c r="F33" s="14">
        <v>7</v>
      </c>
      <c r="G33" s="14">
        <v>18</v>
      </c>
      <c r="H33" s="18">
        <f>7/18</f>
        <v>0.3888888888888889</v>
      </c>
      <c r="I33" s="80">
        <v>5</v>
      </c>
      <c r="J33" s="80">
        <v>9</v>
      </c>
      <c r="K33" s="18">
        <f>5/9</f>
        <v>0.5555555555555556</v>
      </c>
      <c r="L33" s="13">
        <v>20</v>
      </c>
      <c r="M33" s="13">
        <v>9</v>
      </c>
      <c r="N33" s="14">
        <v>22</v>
      </c>
      <c r="O33" s="13">
        <v>18</v>
      </c>
      <c r="P33" s="13">
        <v>22</v>
      </c>
      <c r="Q33" s="13">
        <v>17</v>
      </c>
      <c r="R33" s="14">
        <v>7</v>
      </c>
      <c r="S33" s="14">
        <v>1</v>
      </c>
      <c r="T33" s="14">
        <v>1</v>
      </c>
      <c r="U33" s="13">
        <v>54</v>
      </c>
      <c r="V33" s="1"/>
      <c r="W33" s="1"/>
      <c r="X33" s="1"/>
      <c r="Y33" s="1"/>
      <c r="Z33" s="1"/>
      <c r="AA33" s="1"/>
      <c r="AB33" s="1"/>
      <c r="AC33" s="1"/>
    </row>
    <row r="34" spans="1:29" ht="12.75">
      <c r="A34" s="17" t="s">
        <v>130</v>
      </c>
      <c r="B34" s="13" t="s">
        <v>124</v>
      </c>
      <c r="C34" s="13">
        <v>15</v>
      </c>
      <c r="D34" s="13">
        <v>40</v>
      </c>
      <c r="E34" s="18">
        <f>15/40</f>
        <v>0.375</v>
      </c>
      <c r="F34" s="14">
        <v>8</v>
      </c>
      <c r="G34" s="14">
        <v>28</v>
      </c>
      <c r="H34" s="18">
        <f>8/28</f>
        <v>0.2857142857142857</v>
      </c>
      <c r="I34" s="14">
        <v>9</v>
      </c>
      <c r="J34" s="14">
        <v>15</v>
      </c>
      <c r="K34" s="18">
        <f>9/15</f>
        <v>0.6</v>
      </c>
      <c r="L34" s="13">
        <v>19</v>
      </c>
      <c r="M34" s="13">
        <v>9</v>
      </c>
      <c r="N34" s="14">
        <v>17</v>
      </c>
      <c r="O34" s="13">
        <v>15</v>
      </c>
      <c r="P34" s="13">
        <v>25</v>
      </c>
      <c r="Q34" s="13">
        <v>18</v>
      </c>
      <c r="R34" s="14">
        <v>10</v>
      </c>
      <c r="S34" s="80">
        <v>0</v>
      </c>
      <c r="T34" s="14">
        <v>1</v>
      </c>
      <c r="U34" s="13">
        <v>40</v>
      </c>
      <c r="V34" s="1"/>
      <c r="W34" s="1"/>
      <c r="X34" s="1"/>
      <c r="Y34" s="1"/>
      <c r="Z34" s="1"/>
      <c r="AA34" s="1"/>
      <c r="AB34" s="1"/>
      <c r="AC34" s="1"/>
    </row>
    <row r="35" spans="1:29" ht="12.75">
      <c r="A35" s="17" t="s">
        <v>131</v>
      </c>
      <c r="B35" s="13" t="s">
        <v>125</v>
      </c>
      <c r="C35" s="73">
        <v>12</v>
      </c>
      <c r="D35" s="13">
        <v>37</v>
      </c>
      <c r="E35" s="81">
        <f>12/37</f>
        <v>0.32432432432432434</v>
      </c>
      <c r="F35" s="14">
        <v>6</v>
      </c>
      <c r="G35" s="14">
        <v>19</v>
      </c>
      <c r="H35" s="18">
        <f>6/19</f>
        <v>0.3157894736842105</v>
      </c>
      <c r="I35" s="14">
        <v>10</v>
      </c>
      <c r="J35" s="14">
        <v>20</v>
      </c>
      <c r="K35" s="18">
        <f>10/20</f>
        <v>0.5</v>
      </c>
      <c r="L35" s="13">
        <v>26</v>
      </c>
      <c r="M35" s="13">
        <v>6</v>
      </c>
      <c r="N35" s="14">
        <v>18</v>
      </c>
      <c r="O35" s="13">
        <v>11</v>
      </c>
      <c r="P35" s="73">
        <v>33</v>
      </c>
      <c r="Q35" s="13">
        <v>17</v>
      </c>
      <c r="R35" s="14">
        <v>3</v>
      </c>
      <c r="S35" s="14">
        <v>1</v>
      </c>
      <c r="T35" s="14">
        <v>2</v>
      </c>
      <c r="U35" s="13">
        <v>15</v>
      </c>
      <c r="V35" s="1"/>
      <c r="W35" s="1"/>
      <c r="X35" s="1"/>
      <c r="Y35" s="1"/>
      <c r="Z35" s="1"/>
      <c r="AA35" s="1"/>
      <c r="AB35" s="1"/>
      <c r="AC35" s="1"/>
    </row>
    <row r="36" spans="1:29" ht="12.75">
      <c r="A36" s="17" t="s">
        <v>132</v>
      </c>
      <c r="B36" s="13" t="s">
        <v>126</v>
      </c>
      <c r="C36" s="13">
        <v>18</v>
      </c>
      <c r="D36" s="13">
        <v>33</v>
      </c>
      <c r="E36" s="18">
        <f>18/33</f>
        <v>0.5454545454545454</v>
      </c>
      <c r="F36" s="14">
        <v>7</v>
      </c>
      <c r="G36" s="14">
        <v>26</v>
      </c>
      <c r="H36" s="18">
        <f>7/26</f>
        <v>0.2692307692307692</v>
      </c>
      <c r="I36" s="14">
        <v>17</v>
      </c>
      <c r="J36" s="14">
        <v>20</v>
      </c>
      <c r="K36" s="18">
        <f>17/20</f>
        <v>0.85</v>
      </c>
      <c r="L36" s="13">
        <v>27</v>
      </c>
      <c r="M36" s="13">
        <v>12</v>
      </c>
      <c r="N36" s="14">
        <v>20</v>
      </c>
      <c r="O36" s="13">
        <v>22</v>
      </c>
      <c r="P36" s="13">
        <v>22</v>
      </c>
      <c r="Q36" s="13">
        <v>16</v>
      </c>
      <c r="R36" s="14">
        <v>9</v>
      </c>
      <c r="S36" s="80">
        <v>0</v>
      </c>
      <c r="T36" s="14">
        <v>4</v>
      </c>
      <c r="U36" s="13">
        <v>77</v>
      </c>
      <c r="V36" s="1"/>
      <c r="W36" s="1"/>
      <c r="X36" s="1"/>
      <c r="Y36" s="1"/>
      <c r="Z36" s="1"/>
      <c r="AA36" s="1"/>
      <c r="AB36" s="1"/>
      <c r="AC36" s="1"/>
    </row>
    <row r="37" spans="1:29" ht="12.75">
      <c r="A37" s="17" t="s">
        <v>133</v>
      </c>
      <c r="B37" s="13" t="s">
        <v>127</v>
      </c>
      <c r="C37" s="13">
        <v>21</v>
      </c>
      <c r="D37" s="13">
        <v>47</v>
      </c>
      <c r="E37" s="18">
        <f>21/47</f>
        <v>0.44680851063829785</v>
      </c>
      <c r="F37" s="14">
        <v>4</v>
      </c>
      <c r="G37" s="14">
        <v>13</v>
      </c>
      <c r="H37" s="18">
        <f>4/13</f>
        <v>0.3076923076923077</v>
      </c>
      <c r="I37" s="14">
        <v>17</v>
      </c>
      <c r="J37" s="14">
        <v>23</v>
      </c>
      <c r="K37" s="18">
        <f>17/23</f>
        <v>0.7391304347826086</v>
      </c>
      <c r="L37" s="13">
        <v>25</v>
      </c>
      <c r="M37" s="13">
        <v>9</v>
      </c>
      <c r="N37" s="14">
        <v>15</v>
      </c>
      <c r="O37" s="13">
        <v>10</v>
      </c>
      <c r="P37" s="13">
        <v>25</v>
      </c>
      <c r="Q37" s="13">
        <v>19</v>
      </c>
      <c r="R37" s="80">
        <v>1</v>
      </c>
      <c r="S37" s="14">
        <v>1</v>
      </c>
      <c r="T37" s="80">
        <v>6</v>
      </c>
      <c r="U37" s="13">
        <v>49</v>
      </c>
      <c r="V37" s="1"/>
      <c r="W37" s="1"/>
      <c r="X37" s="1"/>
      <c r="Y37" s="1"/>
      <c r="Z37" s="1"/>
      <c r="AA37" s="1"/>
      <c r="AB37" s="1"/>
      <c r="AC37" s="1"/>
    </row>
    <row r="38" spans="1:29" ht="12.75">
      <c r="A38" s="17" t="s">
        <v>134</v>
      </c>
      <c r="B38" s="13" t="s">
        <v>128</v>
      </c>
      <c r="C38" s="75">
        <v>25</v>
      </c>
      <c r="D38" s="13">
        <v>45</v>
      </c>
      <c r="E38" s="79">
        <f>25/45</f>
        <v>0.5555555555555556</v>
      </c>
      <c r="F38" s="14">
        <v>4</v>
      </c>
      <c r="G38" s="14">
        <v>17</v>
      </c>
      <c r="H38" s="18">
        <f>4/17</f>
        <v>0.23529411764705882</v>
      </c>
      <c r="I38" s="14">
        <v>13</v>
      </c>
      <c r="J38" s="14">
        <v>21</v>
      </c>
      <c r="K38" s="18">
        <f>13/21</f>
        <v>0.6190476190476191</v>
      </c>
      <c r="L38" s="13">
        <v>20</v>
      </c>
      <c r="M38" s="13">
        <v>10</v>
      </c>
      <c r="N38" s="14">
        <v>12</v>
      </c>
      <c r="O38" s="13">
        <v>14</v>
      </c>
      <c r="P38" s="13">
        <v>23</v>
      </c>
      <c r="Q38" s="13">
        <v>19</v>
      </c>
      <c r="R38" s="14">
        <v>10</v>
      </c>
      <c r="S38" s="80">
        <v>0</v>
      </c>
      <c r="T38" s="14">
        <v>1</v>
      </c>
      <c r="U38" s="13">
        <v>71</v>
      </c>
      <c r="V38" s="1"/>
      <c r="W38" s="1"/>
      <c r="X38" s="1"/>
      <c r="Y38" s="1"/>
      <c r="Z38" s="1"/>
      <c r="AA38" s="1"/>
      <c r="AB38" s="1"/>
      <c r="AC38" s="1"/>
    </row>
    <row r="39" spans="1:29" ht="12.75">
      <c r="A39" s="17" t="s">
        <v>135</v>
      </c>
      <c r="B39" s="13" t="s">
        <v>129</v>
      </c>
      <c r="C39" s="43">
        <v>15</v>
      </c>
      <c r="D39" s="43">
        <v>36</v>
      </c>
      <c r="E39" s="10">
        <f>15/36</f>
        <v>0.4166666666666667</v>
      </c>
      <c r="F39" s="11">
        <v>10</v>
      </c>
      <c r="G39" s="76">
        <v>34</v>
      </c>
      <c r="H39" s="10">
        <f>10/34</f>
        <v>0.29411764705882354</v>
      </c>
      <c r="I39" s="11">
        <v>6</v>
      </c>
      <c r="J39" s="11">
        <v>12</v>
      </c>
      <c r="K39" s="10">
        <f>6/12</f>
        <v>0.5</v>
      </c>
      <c r="L39" s="9">
        <v>29</v>
      </c>
      <c r="M39" s="9">
        <v>12</v>
      </c>
      <c r="N39" s="11">
        <v>18</v>
      </c>
      <c r="O39" s="9">
        <v>22</v>
      </c>
      <c r="P39" s="9">
        <v>15</v>
      </c>
      <c r="Q39" s="70">
        <v>11</v>
      </c>
      <c r="R39" s="11">
        <v>6</v>
      </c>
      <c r="S39" s="72">
        <v>0</v>
      </c>
      <c r="T39" s="76">
        <v>0</v>
      </c>
      <c r="U39" s="9">
        <v>62</v>
      </c>
      <c r="V39" s="1"/>
      <c r="W39" s="1"/>
      <c r="X39" s="1"/>
      <c r="Y39" s="1"/>
      <c r="Z39" s="1"/>
      <c r="AA39" s="1"/>
      <c r="AB39" s="1"/>
      <c r="AC39" s="1"/>
    </row>
    <row r="40" spans="1:21" s="1" customFormat="1" ht="12.75">
      <c r="A40" s="17" t="s">
        <v>143</v>
      </c>
      <c r="B40" s="13" t="s">
        <v>146</v>
      </c>
      <c r="C40" s="43">
        <v>14</v>
      </c>
      <c r="D40" s="43">
        <v>38</v>
      </c>
      <c r="E40" s="10">
        <f>14/38</f>
        <v>0.3684210526315789</v>
      </c>
      <c r="F40" s="76">
        <v>13</v>
      </c>
      <c r="G40" s="11">
        <v>28</v>
      </c>
      <c r="H40" s="10">
        <f>13/28</f>
        <v>0.4642857142857143</v>
      </c>
      <c r="I40" s="11">
        <v>10</v>
      </c>
      <c r="J40" s="11">
        <v>19</v>
      </c>
      <c r="K40" s="10">
        <f>10/19</f>
        <v>0.5263157894736842</v>
      </c>
      <c r="L40" s="9">
        <v>20</v>
      </c>
      <c r="M40" s="9">
        <v>13</v>
      </c>
      <c r="N40" s="9">
        <v>14</v>
      </c>
      <c r="O40" s="9">
        <v>17</v>
      </c>
      <c r="P40" s="11">
        <v>24</v>
      </c>
      <c r="Q40" s="9">
        <v>21</v>
      </c>
      <c r="R40" s="11">
        <v>10</v>
      </c>
      <c r="S40" s="72">
        <v>0</v>
      </c>
      <c r="T40" s="11">
        <v>1</v>
      </c>
      <c r="U40" s="9">
        <v>71</v>
      </c>
    </row>
    <row r="41" spans="1:21" s="1" customFormat="1" ht="12.75">
      <c r="A41" s="82" t="s">
        <v>144</v>
      </c>
      <c r="B41" s="13" t="s">
        <v>147</v>
      </c>
      <c r="C41" s="43">
        <v>21</v>
      </c>
      <c r="D41" s="43">
        <v>43</v>
      </c>
      <c r="E41" s="10">
        <f>21/43</f>
        <v>0.4883720930232558</v>
      </c>
      <c r="F41" s="11">
        <v>11</v>
      </c>
      <c r="G41" s="11">
        <v>21</v>
      </c>
      <c r="H41" s="83">
        <f>11/21</f>
        <v>0.5238095238095238</v>
      </c>
      <c r="I41" s="76">
        <v>25</v>
      </c>
      <c r="J41" s="11">
        <v>35</v>
      </c>
      <c r="K41" s="10">
        <f>25/35</f>
        <v>0.7142857142857143</v>
      </c>
      <c r="L41" s="9">
        <v>19</v>
      </c>
      <c r="M41" s="9">
        <v>5</v>
      </c>
      <c r="N41" s="74">
        <v>9</v>
      </c>
      <c r="O41" s="9">
        <v>11</v>
      </c>
      <c r="P41" s="11">
        <v>25</v>
      </c>
      <c r="Q41" s="74">
        <v>29</v>
      </c>
      <c r="R41" s="11">
        <v>8</v>
      </c>
      <c r="S41" s="11">
        <v>1</v>
      </c>
      <c r="T41" s="11">
        <v>1</v>
      </c>
      <c r="U41" s="74">
        <v>96</v>
      </c>
    </row>
    <row r="42" spans="1:21" s="1" customFormat="1" ht="12.75">
      <c r="A42" s="17" t="s">
        <v>145</v>
      </c>
      <c r="B42" s="13" t="s">
        <v>124</v>
      </c>
      <c r="C42" s="43">
        <v>17</v>
      </c>
      <c r="D42" s="43">
        <v>33</v>
      </c>
      <c r="E42" s="10">
        <f>17/33</f>
        <v>0.5151515151515151</v>
      </c>
      <c r="F42" s="11">
        <v>8</v>
      </c>
      <c r="G42" s="11">
        <v>24</v>
      </c>
      <c r="H42" s="10">
        <f>8/24</f>
        <v>0.3333333333333333</v>
      </c>
      <c r="I42" s="11">
        <v>20</v>
      </c>
      <c r="J42" s="11">
        <v>30</v>
      </c>
      <c r="K42" s="10">
        <f>20/30</f>
        <v>0.6666666666666666</v>
      </c>
      <c r="L42" s="9">
        <v>17</v>
      </c>
      <c r="M42" s="9">
        <v>9</v>
      </c>
      <c r="N42" s="9">
        <v>15</v>
      </c>
      <c r="O42" s="9">
        <v>21</v>
      </c>
      <c r="P42" s="11">
        <v>31</v>
      </c>
      <c r="Q42" s="9">
        <v>23</v>
      </c>
      <c r="R42" s="11">
        <v>6</v>
      </c>
      <c r="S42" s="72">
        <v>0</v>
      </c>
      <c r="T42" s="76">
        <v>0</v>
      </c>
      <c r="U42" s="9">
        <v>66</v>
      </c>
    </row>
    <row r="43" spans="1:21" s="1" customFormat="1" ht="12.75">
      <c r="A43" s="60"/>
      <c r="B43" s="43"/>
      <c r="C43" s="43"/>
      <c r="D43" s="43"/>
      <c r="E43" s="10"/>
      <c r="F43" s="11"/>
      <c r="G43" s="11"/>
      <c r="H43" s="10"/>
      <c r="I43" s="11"/>
      <c r="J43" s="11"/>
      <c r="K43" s="10"/>
      <c r="L43" s="9"/>
      <c r="M43" s="9"/>
      <c r="N43" s="11"/>
      <c r="O43" s="9"/>
      <c r="P43" s="9"/>
      <c r="Q43" s="9"/>
      <c r="R43" s="11"/>
      <c r="S43" s="11"/>
      <c r="T43" s="11"/>
      <c r="U43" s="9"/>
    </row>
    <row r="44" spans="1:22" ht="12.75">
      <c r="A44" s="35" t="s">
        <v>37</v>
      </c>
      <c r="B44" s="40" t="s">
        <v>148</v>
      </c>
      <c r="C44" s="40"/>
      <c r="D44" s="40"/>
      <c r="E44" s="39"/>
      <c r="F44" s="57"/>
      <c r="G44" s="57"/>
      <c r="H44" s="39"/>
      <c r="I44" s="57"/>
      <c r="J44" s="57"/>
      <c r="K44" s="39"/>
      <c r="L44" s="37">
        <v>733</v>
      </c>
      <c r="M44" s="37">
        <v>263</v>
      </c>
      <c r="N44" s="66">
        <v>552</v>
      </c>
      <c r="O44" s="37">
        <v>597</v>
      </c>
      <c r="P44" s="37">
        <v>725</v>
      </c>
      <c r="Q44" s="37">
        <v>647</v>
      </c>
      <c r="R44" s="66">
        <v>239</v>
      </c>
      <c r="S44" s="66">
        <v>25</v>
      </c>
      <c r="T44" s="66">
        <v>60</v>
      </c>
      <c r="U44" s="37">
        <v>1911</v>
      </c>
      <c r="V44" s="8"/>
    </row>
    <row r="45" spans="1:21" ht="12.75">
      <c r="A45" s="3"/>
      <c r="B45" s="64" t="s">
        <v>149</v>
      </c>
      <c r="C45" s="64">
        <v>588</v>
      </c>
      <c r="D45" s="64">
        <v>1320</v>
      </c>
      <c r="E45" s="78">
        <f>588/1320</f>
        <v>0.44545454545454544</v>
      </c>
      <c r="F45" s="58">
        <v>178</v>
      </c>
      <c r="G45" s="65">
        <v>604</v>
      </c>
      <c r="H45" s="69">
        <f>178/604</f>
        <v>0.2947019867549669</v>
      </c>
      <c r="I45" s="58">
        <v>466</v>
      </c>
      <c r="J45" s="58">
        <v>740</v>
      </c>
      <c r="K45" s="69">
        <f>466/740</f>
        <v>0.6297297297297297</v>
      </c>
      <c r="L45" s="67">
        <f>733/33</f>
        <v>22.21212121212121</v>
      </c>
      <c r="M45" s="67">
        <f>263/33</f>
        <v>7.96969696969697</v>
      </c>
      <c r="N45" s="67">
        <f>552/33</f>
        <v>16.727272727272727</v>
      </c>
      <c r="O45" s="67">
        <f>597/33</f>
        <v>18.09090909090909</v>
      </c>
      <c r="P45" s="67">
        <f>725/33</f>
        <v>21.96969696969697</v>
      </c>
      <c r="Q45" s="58">
        <f>647/33</f>
        <v>19.606060606060606</v>
      </c>
      <c r="R45" s="67">
        <f>239/33</f>
        <v>7.242424242424242</v>
      </c>
      <c r="S45" s="67">
        <f>25/33</f>
        <v>0.7575757575757576</v>
      </c>
      <c r="T45" s="67">
        <f>60/33</f>
        <v>1.8181818181818181</v>
      </c>
      <c r="U45" s="67">
        <f>1911/33</f>
        <v>57.90909090909091</v>
      </c>
    </row>
    <row r="46" spans="1:21" ht="12.75">
      <c r="A46" s="61"/>
      <c r="B46" t="s">
        <v>13</v>
      </c>
      <c r="C46" s="62"/>
      <c r="D46" s="63"/>
      <c r="E46" t="s">
        <v>12</v>
      </c>
      <c r="F46" s="8"/>
      <c r="G46" s="19"/>
      <c r="H46" s="8"/>
      <c r="I46" s="8"/>
      <c r="J46" s="8"/>
      <c r="K46" s="8"/>
      <c r="L46" s="8"/>
      <c r="M46" s="8"/>
      <c r="N46" s="19"/>
      <c r="O46" s="8"/>
      <c r="P46" s="8"/>
      <c r="Q46" s="8"/>
      <c r="R46" s="36"/>
      <c r="S46" s="36"/>
      <c r="T46" s="36"/>
      <c r="U46" s="13"/>
    </row>
    <row r="47" spans="1:2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49"/>
      <c r="R47" s="36"/>
      <c r="S47" s="36"/>
      <c r="T47" s="36"/>
      <c r="U47" s="3"/>
      <c r="V47" s="49"/>
      <c r="W47" s="49"/>
    </row>
    <row r="48" spans="1:59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6"/>
      <c r="W48" s="36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3"/>
      <c r="N49" s="11"/>
      <c r="O49" s="9"/>
      <c r="P49" s="13"/>
      <c r="Q49" s="13"/>
      <c r="R49" s="14"/>
      <c r="S49" s="14"/>
      <c r="T49" s="14"/>
      <c r="U49" s="13"/>
      <c r="V49" s="13"/>
      <c r="W49" s="1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3"/>
      <c r="N50" s="11"/>
      <c r="O50" s="9"/>
      <c r="P50" s="13"/>
      <c r="Q50" s="11"/>
      <c r="R50" s="9"/>
      <c r="S50" s="14"/>
      <c r="T50" s="14"/>
      <c r="U50" s="13"/>
      <c r="V50" s="13"/>
      <c r="W50" s="1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3"/>
      <c r="N51" s="11"/>
      <c r="O51" s="9"/>
      <c r="P51" s="13"/>
      <c r="Q51" s="11"/>
      <c r="R51" s="9"/>
      <c r="S51" s="14"/>
      <c r="T51" s="14"/>
      <c r="U51" s="13"/>
      <c r="V51" s="13"/>
      <c r="W51" s="1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23" ht="12.75">
      <c r="A52" s="8"/>
      <c r="B52" s="8"/>
      <c r="C52" s="8"/>
      <c r="D52" s="8"/>
      <c r="E52" s="9"/>
      <c r="F52" s="9"/>
      <c r="G52" s="9"/>
      <c r="H52" s="13"/>
      <c r="I52" s="13"/>
      <c r="J52" s="13"/>
      <c r="K52" s="13"/>
      <c r="L52" s="12"/>
      <c r="M52" s="9"/>
      <c r="N52" s="12"/>
      <c r="O52" s="9"/>
      <c r="P52" s="9"/>
      <c r="Q52" s="11"/>
      <c r="R52" s="9"/>
      <c r="S52" s="11"/>
      <c r="T52" s="11"/>
      <c r="U52" s="9"/>
      <c r="V52" s="8"/>
      <c r="W52" s="8"/>
    </row>
    <row r="53" spans="1:23" ht="12.75">
      <c r="A53" s="8"/>
      <c r="B53" s="8"/>
      <c r="C53" s="8"/>
      <c r="D53" s="8"/>
      <c r="E53" s="9"/>
      <c r="F53" s="9"/>
      <c r="G53" s="9"/>
      <c r="H53" s="13"/>
      <c r="I53" s="13"/>
      <c r="J53" s="13"/>
      <c r="K53" s="13"/>
      <c r="L53" s="12"/>
      <c r="M53" s="9"/>
      <c r="N53" s="12"/>
      <c r="O53" s="9"/>
      <c r="P53" s="9"/>
      <c r="Q53" s="9"/>
      <c r="R53" s="11"/>
      <c r="S53" s="11"/>
      <c r="T53" s="11"/>
      <c r="U53" s="9"/>
      <c r="V53" s="8"/>
      <c r="W53" s="8"/>
    </row>
    <row r="54" spans="1:23" ht="12.75">
      <c r="A54" s="8"/>
      <c r="B54" s="8"/>
      <c r="C54" s="8"/>
      <c r="D54" s="8"/>
      <c r="E54" s="9"/>
      <c r="F54" s="9"/>
      <c r="G54" s="9"/>
      <c r="H54" s="13"/>
      <c r="I54" s="13"/>
      <c r="J54" s="13"/>
      <c r="K54" s="13"/>
      <c r="L54" s="12"/>
      <c r="M54" s="9"/>
      <c r="N54" s="12"/>
      <c r="O54" s="9"/>
      <c r="P54" s="9"/>
      <c r="Q54" s="9"/>
      <c r="R54" s="11"/>
      <c r="S54" s="11"/>
      <c r="T54" s="11"/>
      <c r="U54" s="9"/>
      <c r="V54" s="8"/>
      <c r="W54" s="8"/>
    </row>
    <row r="55" spans="1:23" ht="12.75">
      <c r="A55" s="8"/>
      <c r="B55" s="8"/>
      <c r="C55" s="8"/>
      <c r="D55" s="8"/>
      <c r="E55" s="9"/>
      <c r="F55" s="9"/>
      <c r="G55" s="9"/>
      <c r="H55" s="13"/>
      <c r="I55" s="13"/>
      <c r="J55" s="13"/>
      <c r="K55" s="13"/>
      <c r="L55" s="12"/>
      <c r="M55" s="9"/>
      <c r="N55" s="12"/>
      <c r="O55" s="9"/>
      <c r="P55" s="9"/>
      <c r="Q55" s="9"/>
      <c r="R55" s="11"/>
      <c r="S55" s="11"/>
      <c r="T55" s="11"/>
      <c r="U55" s="9"/>
      <c r="V55" s="8"/>
      <c r="W55" s="8"/>
    </row>
    <row r="56" spans="1:23" ht="12.75">
      <c r="A56" s="8"/>
      <c r="B56" s="8"/>
      <c r="C56" s="8"/>
      <c r="D56" s="8"/>
      <c r="E56" s="9"/>
      <c r="F56" s="9"/>
      <c r="G56" s="9"/>
      <c r="H56" s="13"/>
      <c r="I56" s="13"/>
      <c r="J56" s="13"/>
      <c r="K56" s="13"/>
      <c r="L56" s="12"/>
      <c r="M56" s="9"/>
      <c r="N56" s="12"/>
      <c r="O56" s="9"/>
      <c r="P56" s="9"/>
      <c r="Q56" s="9"/>
      <c r="R56" s="11"/>
      <c r="S56" s="11"/>
      <c r="T56" s="11"/>
      <c r="U56" s="9"/>
      <c r="V56" s="8"/>
      <c r="W56" s="8"/>
    </row>
    <row r="57" spans="1:23" ht="12.75">
      <c r="A57" s="8"/>
      <c r="B57" s="8"/>
      <c r="C57" s="8"/>
      <c r="D57" s="8"/>
      <c r="E57" s="9"/>
      <c r="F57" s="9"/>
      <c r="G57" s="9"/>
      <c r="H57" s="13"/>
      <c r="I57" s="13"/>
      <c r="J57" s="13"/>
      <c r="K57" s="13"/>
      <c r="L57" s="12"/>
      <c r="M57" s="9"/>
      <c r="N57" s="12"/>
      <c r="O57" s="9"/>
      <c r="P57" s="9"/>
      <c r="Q57" s="9"/>
      <c r="R57" s="11"/>
      <c r="S57" s="11"/>
      <c r="T57" s="11"/>
      <c r="U57" s="9"/>
      <c r="V57" s="8"/>
      <c r="W57" s="8"/>
    </row>
    <row r="58" spans="1:23" ht="12.75">
      <c r="A58" s="8"/>
      <c r="B58" s="8"/>
      <c r="C58" s="8"/>
      <c r="D58" s="8"/>
      <c r="E58" s="9"/>
      <c r="F58" s="9"/>
      <c r="G58" s="9"/>
      <c r="H58" s="13"/>
      <c r="I58" s="13"/>
      <c r="J58" s="13"/>
      <c r="K58" s="13"/>
      <c r="L58" s="12"/>
      <c r="M58" s="9"/>
      <c r="N58" s="12"/>
      <c r="O58" s="9"/>
      <c r="P58" s="9"/>
      <c r="Q58" s="9"/>
      <c r="R58" s="11"/>
      <c r="S58" s="11"/>
      <c r="T58" s="11"/>
      <c r="U58" s="9"/>
      <c r="V58" s="8"/>
      <c r="W58" s="8"/>
    </row>
    <row r="59" spans="1:23" ht="12.75">
      <c r="A59" s="8"/>
      <c r="B59" s="8"/>
      <c r="C59" s="8"/>
      <c r="D59" s="8"/>
      <c r="E59" s="9"/>
      <c r="F59" s="9"/>
      <c r="G59" s="9"/>
      <c r="H59" s="13"/>
      <c r="I59" s="13"/>
      <c r="J59" s="13"/>
      <c r="K59" s="13"/>
      <c r="L59" s="12"/>
      <c r="M59" s="9"/>
      <c r="N59" s="12"/>
      <c r="O59" s="9"/>
      <c r="P59" s="9"/>
      <c r="Q59" s="9"/>
      <c r="R59" s="11"/>
      <c r="S59" s="11"/>
      <c r="T59" s="11"/>
      <c r="U59" s="9"/>
      <c r="V59" s="8"/>
      <c r="W59" s="8"/>
    </row>
    <row r="60" spans="1:23" ht="12.75">
      <c r="A60" s="8"/>
      <c r="B60" s="8"/>
      <c r="C60" s="8"/>
      <c r="D60" s="8"/>
      <c r="E60" s="9"/>
      <c r="F60" s="9"/>
      <c r="G60" s="9"/>
      <c r="H60" s="13"/>
      <c r="I60" s="13"/>
      <c r="J60" s="13"/>
      <c r="K60" s="13"/>
      <c r="L60" s="12"/>
      <c r="M60" s="9"/>
      <c r="N60" s="12"/>
      <c r="O60" s="9"/>
      <c r="P60" s="9"/>
      <c r="Q60" s="9"/>
      <c r="R60" s="11"/>
      <c r="S60" s="11"/>
      <c r="T60" s="11"/>
      <c r="U60" s="9"/>
      <c r="V60" s="8"/>
      <c r="W60" s="8"/>
    </row>
    <row r="61" spans="1:23" ht="12.75">
      <c r="A61" s="8"/>
      <c r="B61" s="8"/>
      <c r="C61" s="8"/>
      <c r="D61" s="8"/>
      <c r="E61" s="9"/>
      <c r="F61" s="9"/>
      <c r="G61" s="9"/>
      <c r="H61" s="13"/>
      <c r="I61" s="13"/>
      <c r="J61" s="13"/>
      <c r="K61" s="13"/>
      <c r="L61" s="12"/>
      <c r="M61" s="9"/>
      <c r="N61" s="12"/>
      <c r="O61" s="9"/>
      <c r="P61" s="9"/>
      <c r="Q61" s="9"/>
      <c r="R61" s="11"/>
      <c r="S61" s="11"/>
      <c r="T61" s="11"/>
      <c r="U61" s="9"/>
      <c r="V61" s="8"/>
      <c r="W61" s="8"/>
    </row>
    <row r="62" spans="1:23" ht="12.75">
      <c r="A62" s="8"/>
      <c r="B62" s="21"/>
      <c r="C62" s="21"/>
      <c r="D62" s="21"/>
      <c r="E62" s="9"/>
      <c r="F62" s="9"/>
      <c r="G62" s="9"/>
      <c r="H62" s="13"/>
      <c r="I62" s="13"/>
      <c r="J62" s="13"/>
      <c r="K62" s="13"/>
      <c r="L62" s="12"/>
      <c r="M62" s="9"/>
      <c r="N62" s="12"/>
      <c r="O62" s="9"/>
      <c r="P62" s="9"/>
      <c r="Q62" s="9"/>
      <c r="R62" s="11"/>
      <c r="S62" s="11"/>
      <c r="T62" s="11"/>
      <c r="U62" s="9"/>
      <c r="V62" s="8"/>
      <c r="W62" s="8"/>
    </row>
    <row r="63" spans="1:23" ht="12.75">
      <c r="A63" s="8"/>
      <c r="B63" s="8"/>
      <c r="C63" s="8"/>
      <c r="D63" s="8"/>
      <c r="E63" s="9"/>
      <c r="F63" s="9"/>
      <c r="G63" s="9"/>
      <c r="H63" s="13"/>
      <c r="I63" s="13"/>
      <c r="J63" s="13"/>
      <c r="K63" s="13"/>
      <c r="L63" s="12"/>
      <c r="M63" s="9"/>
      <c r="N63" s="12"/>
      <c r="O63" s="9"/>
      <c r="P63" s="9"/>
      <c r="Q63" s="9"/>
      <c r="R63" s="11"/>
      <c r="S63" s="11"/>
      <c r="T63" s="11"/>
      <c r="U63" s="9"/>
      <c r="V63" s="8"/>
      <c r="W63" s="8"/>
    </row>
    <row r="64" spans="1:23" ht="12.75">
      <c r="A64" s="8"/>
      <c r="B64" s="8"/>
      <c r="C64" s="8"/>
      <c r="D64" s="8"/>
      <c r="E64" s="9"/>
      <c r="F64" s="9"/>
      <c r="G64" s="9"/>
      <c r="H64" s="13"/>
      <c r="I64" s="13"/>
      <c r="J64" s="13"/>
      <c r="K64" s="13"/>
      <c r="L64" s="12"/>
      <c r="M64" s="9"/>
      <c r="N64" s="12"/>
      <c r="O64" s="9"/>
      <c r="P64" s="9"/>
      <c r="Q64" s="9"/>
      <c r="R64" s="11"/>
      <c r="S64" s="11"/>
      <c r="T64" s="11"/>
      <c r="U64" s="9"/>
      <c r="V64" s="8"/>
      <c r="W64" s="8"/>
    </row>
    <row r="65" spans="1:23" ht="12.75">
      <c r="A65" s="8"/>
      <c r="B65" s="8"/>
      <c r="C65" s="8"/>
      <c r="D65" s="8"/>
      <c r="E65" s="9"/>
      <c r="F65" s="9"/>
      <c r="G65" s="9"/>
      <c r="H65" s="13"/>
      <c r="I65" s="13"/>
      <c r="J65" s="13"/>
      <c r="K65" s="13"/>
      <c r="L65" s="12"/>
      <c r="M65" s="9"/>
      <c r="N65" s="12"/>
      <c r="O65" s="9"/>
      <c r="P65" s="9"/>
      <c r="Q65" s="9"/>
      <c r="R65" s="11"/>
      <c r="S65" s="11"/>
      <c r="T65" s="11"/>
      <c r="U65" s="9"/>
      <c r="V65" s="8"/>
      <c r="W65" s="8"/>
    </row>
    <row r="66" spans="1:23" ht="12.75">
      <c r="A66" s="8"/>
      <c r="B66" s="21"/>
      <c r="C66" s="21"/>
      <c r="D66" s="21"/>
      <c r="E66" s="9"/>
      <c r="F66" s="9"/>
      <c r="G66" s="9"/>
      <c r="H66" s="13"/>
      <c r="I66" s="13"/>
      <c r="J66" s="13"/>
      <c r="K66" s="13"/>
      <c r="L66" s="15"/>
      <c r="M66" s="13"/>
      <c r="N66" s="15"/>
      <c r="O66" s="13"/>
      <c r="P66" s="13"/>
      <c r="Q66" s="13"/>
      <c r="R66" s="14"/>
      <c r="S66" s="14"/>
      <c r="T66" s="14"/>
      <c r="U66" s="9"/>
      <c r="V66" s="8"/>
      <c r="W66" s="8"/>
    </row>
    <row r="67" spans="1:23" ht="12.75">
      <c r="A67" s="8"/>
      <c r="B67" s="8"/>
      <c r="C67" s="8"/>
      <c r="D67" s="8"/>
      <c r="E67" s="9"/>
      <c r="F67" s="9"/>
      <c r="G67" s="9"/>
      <c r="H67" s="13"/>
      <c r="I67" s="13"/>
      <c r="J67" s="13"/>
      <c r="K67" s="9"/>
      <c r="L67" s="12"/>
      <c r="M67" s="9"/>
      <c r="N67" s="12"/>
      <c r="O67" s="9"/>
      <c r="P67" s="9"/>
      <c r="Q67" s="9"/>
      <c r="R67" s="11"/>
      <c r="S67" s="11"/>
      <c r="T67" s="11"/>
      <c r="U67" s="9"/>
      <c r="V67" s="8"/>
      <c r="W67" s="8"/>
    </row>
    <row r="68" spans="1:23" ht="12.75">
      <c r="A68" s="8"/>
      <c r="B68" s="8"/>
      <c r="C68" s="8"/>
      <c r="D68" s="8"/>
      <c r="E68" s="9"/>
      <c r="F68" s="9"/>
      <c r="G68" s="9"/>
      <c r="H68" s="13"/>
      <c r="I68" s="13"/>
      <c r="J68" s="13"/>
      <c r="K68" s="9"/>
      <c r="L68" s="9"/>
      <c r="M68" s="9"/>
      <c r="N68" s="12"/>
      <c r="O68" s="9"/>
      <c r="P68" s="9"/>
      <c r="Q68" s="9"/>
      <c r="R68" s="11"/>
      <c r="S68" s="11"/>
      <c r="T68" s="11"/>
      <c r="U68" s="8"/>
      <c r="V68" s="8"/>
      <c r="W68" s="8"/>
    </row>
    <row r="69" spans="1:23" ht="12.75">
      <c r="A69" s="8"/>
      <c r="B69" s="8"/>
      <c r="C69" s="8"/>
      <c r="D69" s="8"/>
      <c r="E69" s="9"/>
      <c r="F69" s="9"/>
      <c r="G69" s="9"/>
      <c r="H69" s="13"/>
      <c r="I69" s="13"/>
      <c r="J69" s="13"/>
      <c r="K69" s="9"/>
      <c r="L69" s="9"/>
      <c r="M69" s="8"/>
      <c r="N69" s="19"/>
      <c r="O69" s="8"/>
      <c r="P69" s="8"/>
      <c r="Q69" s="8"/>
      <c r="R69" s="19"/>
      <c r="S69" s="19"/>
      <c r="T69" s="19"/>
      <c r="V69" s="8"/>
      <c r="W69" s="8"/>
    </row>
    <row r="70" spans="1:23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6"/>
      <c r="O70" s="45"/>
      <c r="P70" s="45"/>
      <c r="Q70" s="45"/>
      <c r="R70" s="47"/>
      <c r="S70" s="47"/>
      <c r="T70" s="47"/>
      <c r="U70" s="44"/>
      <c r="V70" s="48"/>
      <c r="W70" s="48"/>
    </row>
    <row r="71" spans="1:22" ht="12.75">
      <c r="A71" s="8"/>
      <c r="B71" s="8"/>
      <c r="C71" s="8"/>
      <c r="D71" s="8"/>
      <c r="E71" s="27"/>
      <c r="F71" s="27"/>
      <c r="G71" s="27"/>
      <c r="H71" s="27"/>
      <c r="I71" s="27"/>
      <c r="J71" s="27"/>
      <c r="K71" s="27"/>
      <c r="L71" s="17"/>
      <c r="M71" s="28"/>
      <c r="N71" s="29"/>
      <c r="O71" s="28"/>
      <c r="P71" s="28"/>
      <c r="Q71" s="28"/>
      <c r="R71" s="31"/>
      <c r="S71" s="31"/>
      <c r="T71" s="31"/>
      <c r="U71" s="25"/>
      <c r="V71" s="1"/>
    </row>
    <row r="72" spans="1:22" ht="12.75">
      <c r="A72" s="8"/>
      <c r="B72" s="8"/>
      <c r="C72" s="8"/>
      <c r="D72" s="8"/>
      <c r="E72" s="18"/>
      <c r="F72" s="18"/>
      <c r="G72" s="18"/>
      <c r="H72" s="18"/>
      <c r="I72" s="18"/>
      <c r="J72" s="18"/>
      <c r="K72" s="18"/>
      <c r="L72" s="9"/>
      <c r="M72" s="12"/>
      <c r="N72" s="11"/>
      <c r="O72" s="12"/>
      <c r="P72" s="12"/>
      <c r="Q72" s="12"/>
      <c r="R72" s="26"/>
      <c r="S72" s="26"/>
      <c r="T72" s="26"/>
      <c r="U72" s="25"/>
      <c r="V72" s="1"/>
    </row>
    <row r="73" spans="1:22" ht="12.75">
      <c r="A73" s="8"/>
      <c r="B73" s="8"/>
      <c r="C73" s="8"/>
      <c r="D73" s="8"/>
      <c r="E73" s="18"/>
      <c r="F73" s="18"/>
      <c r="G73" s="18"/>
      <c r="H73" s="18"/>
      <c r="I73" s="18"/>
      <c r="J73" s="18"/>
      <c r="K73" s="18"/>
      <c r="L73" s="9"/>
      <c r="M73" s="12"/>
      <c r="N73" s="11"/>
      <c r="O73" s="12"/>
      <c r="P73" s="12"/>
      <c r="Q73" s="12"/>
      <c r="R73" s="26"/>
      <c r="S73" s="26"/>
      <c r="T73" s="26"/>
      <c r="U73" s="25"/>
      <c r="V73" s="1"/>
    </row>
    <row r="74" spans="1:22" ht="12.75">
      <c r="A74" s="8"/>
      <c r="B74" s="8"/>
      <c r="C74" s="8"/>
      <c r="D74" s="8"/>
      <c r="E74" s="18"/>
      <c r="F74" s="18"/>
      <c r="G74" s="18"/>
      <c r="H74" s="18"/>
      <c r="I74" s="18"/>
      <c r="J74" s="18"/>
      <c r="K74" s="18"/>
      <c r="L74" s="9"/>
      <c r="M74" s="12"/>
      <c r="N74" s="11"/>
      <c r="O74" s="12"/>
      <c r="P74" s="12"/>
      <c r="Q74" s="12"/>
      <c r="R74" s="26"/>
      <c r="S74" s="26"/>
      <c r="T74" s="26"/>
      <c r="U74" s="25"/>
      <c r="V74" s="1"/>
    </row>
    <row r="75" spans="1:22" ht="12.75">
      <c r="A75" s="8"/>
      <c r="B75" s="8"/>
      <c r="C75" s="8"/>
      <c r="D75" s="8"/>
      <c r="E75" s="18"/>
      <c r="F75" s="18"/>
      <c r="G75" s="18"/>
      <c r="H75" s="18"/>
      <c r="I75" s="18"/>
      <c r="J75" s="18"/>
      <c r="K75" s="18"/>
      <c r="L75" s="9"/>
      <c r="M75" s="12"/>
      <c r="N75" s="11"/>
      <c r="O75" s="12"/>
      <c r="P75" s="12"/>
      <c r="Q75" s="12"/>
      <c r="R75" s="26"/>
      <c r="S75" s="26"/>
      <c r="T75" s="26"/>
      <c r="U75" s="25"/>
      <c r="V75" s="1"/>
    </row>
    <row r="76" spans="1:22" ht="12.75">
      <c r="A76" s="8"/>
      <c r="B76" s="8"/>
      <c r="C76" s="8"/>
      <c r="D76" s="8"/>
      <c r="E76" s="18"/>
      <c r="F76" s="18"/>
      <c r="G76" s="18"/>
      <c r="H76" s="18"/>
      <c r="I76" s="18"/>
      <c r="J76" s="18"/>
      <c r="K76" s="18"/>
      <c r="L76" s="9"/>
      <c r="M76" s="12"/>
      <c r="N76" s="11"/>
      <c r="O76" s="12"/>
      <c r="P76" s="12"/>
      <c r="Q76" s="12"/>
      <c r="R76" s="26"/>
      <c r="S76" s="26"/>
      <c r="T76" s="26"/>
      <c r="U76" s="25"/>
      <c r="V76" s="1"/>
    </row>
    <row r="77" spans="1:22" ht="12.75">
      <c r="A77" s="8"/>
      <c r="B77" s="8"/>
      <c r="C77" s="8"/>
      <c r="D77" s="8"/>
      <c r="E77" s="18"/>
      <c r="F77" s="18"/>
      <c r="G77" s="18"/>
      <c r="H77" s="18"/>
      <c r="I77" s="18"/>
      <c r="J77" s="18"/>
      <c r="K77" s="18"/>
      <c r="L77" s="9"/>
      <c r="M77" s="12"/>
      <c r="N77" s="11"/>
      <c r="O77" s="12"/>
      <c r="P77" s="12"/>
      <c r="Q77" s="12"/>
      <c r="R77" s="26"/>
      <c r="S77" s="26"/>
      <c r="T77" s="26"/>
      <c r="U77" s="25"/>
      <c r="V77" s="1"/>
    </row>
    <row r="78" spans="1:22" ht="12.75">
      <c r="A78" s="8"/>
      <c r="B78" s="8"/>
      <c r="C78" s="8"/>
      <c r="D78" s="8"/>
      <c r="E78" s="18"/>
      <c r="F78" s="18"/>
      <c r="G78" s="18"/>
      <c r="H78" s="18"/>
      <c r="I78" s="18"/>
      <c r="J78" s="18"/>
      <c r="K78" s="18"/>
      <c r="L78" s="9"/>
      <c r="M78" s="12"/>
      <c r="N78" s="11"/>
      <c r="O78" s="12"/>
      <c r="P78" s="12"/>
      <c r="Q78" s="12"/>
      <c r="R78" s="26"/>
      <c r="S78" s="26"/>
      <c r="T78" s="26"/>
      <c r="U78" s="25"/>
      <c r="V78" s="1"/>
    </row>
    <row r="79" spans="1:22" ht="12.75">
      <c r="A79" s="8"/>
      <c r="B79" s="8"/>
      <c r="C79" s="8"/>
      <c r="D79" s="8"/>
      <c r="E79" s="18"/>
      <c r="F79" s="18"/>
      <c r="G79" s="18"/>
      <c r="H79" s="18"/>
      <c r="I79" s="18"/>
      <c r="J79" s="18"/>
      <c r="K79" s="18"/>
      <c r="L79" s="9"/>
      <c r="M79" s="12"/>
      <c r="N79" s="11"/>
      <c r="O79" s="12"/>
      <c r="P79" s="12"/>
      <c r="Q79" s="12"/>
      <c r="R79" s="26"/>
      <c r="S79" s="26"/>
      <c r="T79" s="26"/>
      <c r="U79" s="25"/>
      <c r="V79" s="1"/>
    </row>
    <row r="80" spans="1:22" ht="12.75">
      <c r="A80" s="8"/>
      <c r="B80" s="8"/>
      <c r="C80" s="8"/>
      <c r="D80" s="8"/>
      <c r="E80" s="18"/>
      <c r="F80" s="18"/>
      <c r="G80" s="18"/>
      <c r="H80" s="18"/>
      <c r="I80" s="18"/>
      <c r="J80" s="18"/>
      <c r="K80" s="18"/>
      <c r="L80" s="9"/>
      <c r="M80" s="12"/>
      <c r="N80" s="11"/>
      <c r="O80" s="12"/>
      <c r="P80" s="12"/>
      <c r="Q80" s="12"/>
      <c r="R80" s="26"/>
      <c r="S80" s="26"/>
      <c r="T80" s="26"/>
      <c r="U80" s="25"/>
      <c r="V80" s="1"/>
    </row>
    <row r="81" spans="1:22" ht="12.75">
      <c r="A81" s="8"/>
      <c r="B81" s="8"/>
      <c r="C81" s="8"/>
      <c r="D81" s="8"/>
      <c r="E81" s="18"/>
      <c r="F81" s="18"/>
      <c r="G81" s="18"/>
      <c r="H81" s="18"/>
      <c r="I81" s="18"/>
      <c r="J81" s="18"/>
      <c r="K81" s="18"/>
      <c r="L81" s="9"/>
      <c r="M81" s="12"/>
      <c r="N81" s="11"/>
      <c r="O81" s="12"/>
      <c r="P81" s="12"/>
      <c r="Q81" s="12"/>
      <c r="R81" s="26"/>
      <c r="S81" s="26"/>
      <c r="T81" s="26"/>
      <c r="U81" s="25"/>
      <c r="V81" s="1"/>
    </row>
    <row r="82" spans="1:22" ht="12.75">
      <c r="A82" s="8"/>
      <c r="B82" s="8"/>
      <c r="C82" s="8"/>
      <c r="D82" s="8"/>
      <c r="E82" s="18"/>
      <c r="F82" s="18"/>
      <c r="G82" s="18"/>
      <c r="H82" s="18"/>
      <c r="I82" s="18"/>
      <c r="J82" s="18"/>
      <c r="K82" s="18"/>
      <c r="L82" s="9"/>
      <c r="M82" s="12"/>
      <c r="N82" s="11"/>
      <c r="O82" s="12"/>
      <c r="P82" s="12"/>
      <c r="Q82" s="12"/>
      <c r="R82" s="26"/>
      <c r="S82" s="26"/>
      <c r="T82" s="26"/>
      <c r="U82" s="25"/>
      <c r="V82" s="1"/>
    </row>
    <row r="83" spans="1:22" ht="12.75">
      <c r="A83" s="8"/>
      <c r="B83" s="8"/>
      <c r="C83" s="8"/>
      <c r="D83" s="8"/>
      <c r="E83" s="18"/>
      <c r="F83" s="18"/>
      <c r="G83" s="18"/>
      <c r="H83" s="18"/>
      <c r="I83" s="18"/>
      <c r="J83" s="18"/>
      <c r="K83" s="18"/>
      <c r="L83" s="9"/>
      <c r="M83" s="12"/>
      <c r="N83" s="11"/>
      <c r="O83" s="12"/>
      <c r="P83" s="12"/>
      <c r="Q83" s="12"/>
      <c r="R83" s="26"/>
      <c r="S83" s="26"/>
      <c r="T83" s="26"/>
      <c r="U83" s="25"/>
      <c r="V83" s="1"/>
    </row>
    <row r="84" spans="1:22" ht="12.75">
      <c r="A84" s="8"/>
      <c r="B84" s="21"/>
      <c r="C84" s="21"/>
      <c r="D84" s="21"/>
      <c r="E84" s="18"/>
      <c r="F84" s="18"/>
      <c r="G84" s="18"/>
      <c r="H84" s="18"/>
      <c r="I84" s="18"/>
      <c r="J84" s="18"/>
      <c r="K84" s="18"/>
      <c r="L84" s="9"/>
      <c r="M84" s="12"/>
      <c r="N84" s="11"/>
      <c r="O84" s="12"/>
      <c r="P84" s="12"/>
      <c r="Q84" s="12"/>
      <c r="R84" s="26"/>
      <c r="S84" s="26"/>
      <c r="T84" s="26"/>
      <c r="U84" s="25"/>
      <c r="V84" s="1"/>
    </row>
    <row r="85" spans="1:22" ht="12.75">
      <c r="A85" s="8"/>
      <c r="B85" s="8"/>
      <c r="C85" s="8"/>
      <c r="D85" s="8"/>
      <c r="E85" s="18"/>
      <c r="F85" s="18"/>
      <c r="G85" s="18"/>
      <c r="H85" s="18"/>
      <c r="I85" s="18"/>
      <c r="J85" s="18"/>
      <c r="K85" s="18"/>
      <c r="L85" s="9"/>
      <c r="M85" s="12"/>
      <c r="N85" s="11"/>
      <c r="O85" s="12"/>
      <c r="P85" s="12"/>
      <c r="Q85" s="12"/>
      <c r="R85" s="26"/>
      <c r="S85" s="26"/>
      <c r="T85" s="26"/>
      <c r="U85" s="25"/>
      <c r="V85" s="1"/>
    </row>
    <row r="86" spans="1:22" ht="12.75">
      <c r="A86" s="8"/>
      <c r="B86" s="8"/>
      <c r="C86" s="8"/>
      <c r="D86" s="8"/>
      <c r="E86" s="18"/>
      <c r="F86" s="18"/>
      <c r="G86" s="18"/>
      <c r="H86" s="18"/>
      <c r="I86" s="18"/>
      <c r="J86" s="18"/>
      <c r="K86" s="18"/>
      <c r="L86" s="9"/>
      <c r="M86" s="12"/>
      <c r="N86" s="11"/>
      <c r="O86" s="12"/>
      <c r="P86" s="12"/>
      <c r="Q86" s="12"/>
      <c r="R86" s="26"/>
      <c r="S86" s="26"/>
      <c r="T86" s="26"/>
      <c r="U86" s="25"/>
      <c r="V86" s="1"/>
    </row>
    <row r="87" spans="1:22" ht="12.75">
      <c r="A87" s="8"/>
      <c r="B87" s="8"/>
      <c r="C87" s="8"/>
      <c r="D87" s="8"/>
      <c r="E87" s="18"/>
      <c r="F87" s="18"/>
      <c r="G87" s="18"/>
      <c r="H87" s="18"/>
      <c r="I87" s="18"/>
      <c r="J87" s="18"/>
      <c r="K87" s="18"/>
      <c r="L87" s="9"/>
      <c r="M87" s="12"/>
      <c r="N87" s="11"/>
      <c r="O87" s="12"/>
      <c r="P87" s="12"/>
      <c r="Q87" s="12"/>
      <c r="R87" s="32"/>
      <c r="S87" s="32"/>
      <c r="T87" s="32"/>
      <c r="U87" s="25"/>
      <c r="V87" s="1"/>
    </row>
    <row r="88" spans="1:22" ht="12.75">
      <c r="A88" s="8"/>
      <c r="B88" s="21"/>
      <c r="C88" s="21"/>
      <c r="D88" s="21"/>
      <c r="E88" s="18"/>
      <c r="F88" s="18"/>
      <c r="G88" s="18"/>
      <c r="H88" s="18"/>
      <c r="I88" s="18"/>
      <c r="J88" s="18"/>
      <c r="K88" s="33"/>
      <c r="L88" s="13"/>
      <c r="M88" s="12"/>
      <c r="N88" s="14"/>
      <c r="O88" s="12"/>
      <c r="P88" s="12"/>
      <c r="Q88" s="12"/>
      <c r="R88" s="32"/>
      <c r="S88" s="32"/>
      <c r="T88" s="32"/>
      <c r="U88" s="25"/>
      <c r="V88" s="1"/>
    </row>
    <row r="89" spans="1:22" ht="12.75">
      <c r="A89" s="8"/>
      <c r="B89" s="8"/>
      <c r="C89" s="8"/>
      <c r="D89" s="8"/>
      <c r="E89" s="18"/>
      <c r="F89" s="18"/>
      <c r="G89" s="18"/>
      <c r="H89" s="18"/>
      <c r="I89" s="18"/>
      <c r="J89" s="18"/>
      <c r="K89" s="18"/>
      <c r="L89" s="9"/>
      <c r="M89" s="12"/>
      <c r="N89" s="11"/>
      <c r="O89" s="12"/>
      <c r="P89" s="12"/>
      <c r="Q89" s="12"/>
      <c r="R89" s="32"/>
      <c r="S89" s="32"/>
      <c r="T89" s="32"/>
      <c r="U89" s="25"/>
      <c r="V89" s="1"/>
    </row>
    <row r="90" spans="5:22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M38" sqref="M38"/>
    </sheetView>
  </sheetViews>
  <sheetFormatPr defaultColWidth="9.140625" defaultRowHeight="12.75"/>
  <cols>
    <col min="2" max="2" width="17.8515625" style="0" customWidth="1"/>
    <col min="3" max="3" width="8.00390625" style="0" customWidth="1"/>
    <col min="4" max="4" width="7.57421875" style="0" customWidth="1"/>
    <col min="5" max="5" width="8.421875" style="0" customWidth="1"/>
    <col min="6" max="6" width="7.57421875" style="0" customWidth="1"/>
    <col min="7" max="7" width="8.57421875" style="0" customWidth="1"/>
    <col min="8" max="8" width="7.421875" style="0" customWidth="1"/>
    <col min="9" max="9" width="6.8515625" style="0" customWidth="1"/>
    <col min="10" max="10" width="7.140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421875" style="0" customWidth="1"/>
    <col min="17" max="17" width="7.00390625" style="0" customWidth="1"/>
    <col min="18" max="18" width="6.57421875" style="0" customWidth="1"/>
  </cols>
  <sheetData>
    <row r="1" spans="1:18" ht="12.75">
      <c r="A1" s="4" t="s">
        <v>14</v>
      </c>
      <c r="B1" s="4" t="s">
        <v>15</v>
      </c>
      <c r="C1" s="41" t="s">
        <v>16</v>
      </c>
      <c r="D1" s="4" t="s">
        <v>17</v>
      </c>
      <c r="E1" s="4" t="s">
        <v>18</v>
      </c>
      <c r="F1" s="4" t="s">
        <v>34</v>
      </c>
      <c r="G1" s="4" t="s">
        <v>20</v>
      </c>
      <c r="H1" s="4" t="s">
        <v>19</v>
      </c>
      <c r="I1" s="4" t="s">
        <v>20</v>
      </c>
      <c r="J1" s="4" t="s">
        <v>21</v>
      </c>
      <c r="K1" s="4" t="s">
        <v>20</v>
      </c>
      <c r="L1" s="4" t="s">
        <v>22</v>
      </c>
      <c r="M1" s="5" t="s">
        <v>23</v>
      </c>
      <c r="N1" s="4" t="s">
        <v>24</v>
      </c>
      <c r="O1" s="6" t="s">
        <v>25</v>
      </c>
      <c r="P1" s="5" t="s">
        <v>26</v>
      </c>
      <c r="Q1" s="5" t="s">
        <v>35</v>
      </c>
      <c r="R1" s="5" t="s">
        <v>36</v>
      </c>
    </row>
    <row r="2" spans="1:18" ht="12.75">
      <c r="A2" s="8">
        <v>6</v>
      </c>
      <c r="B2" s="8" t="s">
        <v>50</v>
      </c>
      <c r="C2" s="9">
        <v>24</v>
      </c>
      <c r="D2" s="9">
        <v>152</v>
      </c>
      <c r="E2" s="12">
        <f>152/24</f>
        <v>6.333333333333333</v>
      </c>
      <c r="F2" s="9">
        <v>679</v>
      </c>
      <c r="G2" s="12">
        <f>679/24</f>
        <v>28.291666666666668</v>
      </c>
      <c r="H2" s="9">
        <v>62</v>
      </c>
      <c r="I2" s="12">
        <f>62/24</f>
        <v>2.5833333333333335</v>
      </c>
      <c r="J2" s="9">
        <v>75</v>
      </c>
      <c r="K2" s="12">
        <f>75/24</f>
        <v>3.125</v>
      </c>
      <c r="L2" s="9">
        <v>86</v>
      </c>
      <c r="M2" s="11">
        <v>17</v>
      </c>
      <c r="N2" s="11">
        <v>103</v>
      </c>
      <c r="O2" s="12">
        <f>103/24</f>
        <v>4.291666666666667</v>
      </c>
      <c r="P2" s="9">
        <v>58</v>
      </c>
      <c r="Q2" s="8">
        <v>8</v>
      </c>
      <c r="R2" s="8">
        <v>2</v>
      </c>
    </row>
    <row r="3" spans="1:18" ht="12.75">
      <c r="A3" s="8">
        <v>4</v>
      </c>
      <c r="B3" s="8" t="s">
        <v>67</v>
      </c>
      <c r="C3" s="9">
        <v>33</v>
      </c>
      <c r="D3" s="9">
        <v>328</v>
      </c>
      <c r="E3" s="12">
        <f>328/33</f>
        <v>9.93939393939394</v>
      </c>
      <c r="F3" s="9">
        <v>856</v>
      </c>
      <c r="G3" s="12">
        <f>856/33</f>
        <v>25.939393939393938</v>
      </c>
      <c r="H3" s="9">
        <v>67</v>
      </c>
      <c r="I3" s="12">
        <f>67/33</f>
        <v>2.0303030303030303</v>
      </c>
      <c r="J3" s="9">
        <v>107</v>
      </c>
      <c r="K3" s="12">
        <f>107/33</f>
        <v>3.242424242424242</v>
      </c>
      <c r="L3" s="9">
        <v>76</v>
      </c>
      <c r="M3" s="11">
        <v>8</v>
      </c>
      <c r="N3" s="11">
        <v>84</v>
      </c>
      <c r="O3" s="15">
        <f>84/33</f>
        <v>2.5454545454545454</v>
      </c>
      <c r="P3" s="9">
        <v>52</v>
      </c>
      <c r="Q3" s="8">
        <v>1</v>
      </c>
      <c r="R3" s="8">
        <v>1</v>
      </c>
    </row>
    <row r="4" spans="1:18" ht="12.75">
      <c r="A4" s="8">
        <v>12</v>
      </c>
      <c r="B4" s="8" t="s">
        <v>68</v>
      </c>
      <c r="C4" s="9">
        <v>19</v>
      </c>
      <c r="D4" s="9">
        <v>26</v>
      </c>
      <c r="E4" s="12">
        <f>26/19</f>
        <v>1.368421052631579</v>
      </c>
      <c r="F4" s="13">
        <v>262</v>
      </c>
      <c r="G4" s="12">
        <f>262/19</f>
        <v>13.789473684210526</v>
      </c>
      <c r="H4" s="13">
        <v>21</v>
      </c>
      <c r="I4" s="12">
        <f>21/19</f>
        <v>1.105263157894737</v>
      </c>
      <c r="J4" s="9">
        <v>7</v>
      </c>
      <c r="K4" s="12">
        <f>7/19</f>
        <v>0.3684210526315789</v>
      </c>
      <c r="L4" s="9">
        <v>13</v>
      </c>
      <c r="M4" s="11">
        <v>3</v>
      </c>
      <c r="N4" s="11">
        <v>16</v>
      </c>
      <c r="O4" s="12">
        <f>16/19</f>
        <v>0.8421052631578947</v>
      </c>
      <c r="P4" s="9">
        <v>12</v>
      </c>
      <c r="Q4" s="8">
        <v>1</v>
      </c>
      <c r="R4" s="8">
        <v>1</v>
      </c>
    </row>
    <row r="5" spans="1:18" ht="12.75">
      <c r="A5" s="8">
        <v>13</v>
      </c>
      <c r="B5" s="8" t="s">
        <v>52</v>
      </c>
      <c r="C5" s="9">
        <v>5</v>
      </c>
      <c r="D5" s="9">
        <v>11</v>
      </c>
      <c r="E5" s="12">
        <f>11/5</f>
        <v>2.2</v>
      </c>
      <c r="F5" s="13">
        <v>52</v>
      </c>
      <c r="G5" s="12">
        <f>52/5</f>
        <v>10.4</v>
      </c>
      <c r="H5" s="13">
        <v>5</v>
      </c>
      <c r="I5" s="12">
        <f>5/5</f>
        <v>1</v>
      </c>
      <c r="J5" s="9">
        <v>4</v>
      </c>
      <c r="K5" s="12">
        <f>4/5</f>
        <v>0.8</v>
      </c>
      <c r="L5" s="9">
        <v>4</v>
      </c>
      <c r="M5" s="11">
        <v>0</v>
      </c>
      <c r="N5" s="11">
        <v>4</v>
      </c>
      <c r="O5" s="15">
        <f>4/5</f>
        <v>0.8</v>
      </c>
      <c r="P5" s="9">
        <v>3</v>
      </c>
      <c r="Q5" s="8">
        <v>0</v>
      </c>
      <c r="R5" s="8">
        <v>0</v>
      </c>
    </row>
    <row r="6" spans="1:18" ht="12.75">
      <c r="A6" s="8">
        <v>7</v>
      </c>
      <c r="B6" s="8" t="s">
        <v>27</v>
      </c>
      <c r="C6" s="9">
        <v>26</v>
      </c>
      <c r="D6" s="9">
        <v>284</v>
      </c>
      <c r="E6" s="12">
        <f>284/26</f>
        <v>10.923076923076923</v>
      </c>
      <c r="F6" s="13">
        <v>595</v>
      </c>
      <c r="G6" s="12">
        <f>595/26</f>
        <v>22.884615384615383</v>
      </c>
      <c r="H6" s="13">
        <v>65</v>
      </c>
      <c r="I6" s="12">
        <f>65/26</f>
        <v>2.5</v>
      </c>
      <c r="J6" s="9">
        <v>22</v>
      </c>
      <c r="K6" s="12">
        <f>22/26</f>
        <v>0.8461538461538461</v>
      </c>
      <c r="L6" s="9">
        <v>49</v>
      </c>
      <c r="M6" s="11">
        <v>8</v>
      </c>
      <c r="N6" s="11">
        <v>57</v>
      </c>
      <c r="O6" s="15">
        <f>57/26</f>
        <v>2.1923076923076925</v>
      </c>
      <c r="P6" s="9">
        <v>11</v>
      </c>
      <c r="Q6" s="8">
        <v>0</v>
      </c>
      <c r="R6" s="8">
        <v>3</v>
      </c>
    </row>
    <row r="7" spans="1:18" ht="12.75">
      <c r="A7" s="8">
        <v>8</v>
      </c>
      <c r="B7" s="8" t="s">
        <v>38</v>
      </c>
      <c r="C7" s="9">
        <v>33</v>
      </c>
      <c r="D7" s="9">
        <v>274</v>
      </c>
      <c r="E7" s="12">
        <f>274/33</f>
        <v>8.303030303030303</v>
      </c>
      <c r="F7" s="13">
        <v>845</v>
      </c>
      <c r="G7" s="12">
        <f>845/33</f>
        <v>25.606060606060606</v>
      </c>
      <c r="H7" s="13">
        <v>97</v>
      </c>
      <c r="I7" s="12">
        <f>97/33</f>
        <v>2.9393939393939394</v>
      </c>
      <c r="J7" s="9">
        <v>113</v>
      </c>
      <c r="K7" s="12">
        <f>113/33</f>
        <v>3.4242424242424243</v>
      </c>
      <c r="L7" s="9">
        <v>64</v>
      </c>
      <c r="M7" s="11">
        <v>27</v>
      </c>
      <c r="N7" s="11">
        <v>91</v>
      </c>
      <c r="O7" s="12">
        <f>91/33</f>
        <v>2.757575757575758</v>
      </c>
      <c r="P7" s="9">
        <v>34</v>
      </c>
      <c r="Q7" s="8">
        <v>2</v>
      </c>
      <c r="R7" s="8">
        <v>20</v>
      </c>
    </row>
    <row r="8" spans="1:18" ht="12.75">
      <c r="A8" s="8">
        <v>14</v>
      </c>
      <c r="B8" s="8" t="s">
        <v>51</v>
      </c>
      <c r="C8" s="9">
        <v>14</v>
      </c>
      <c r="D8" s="9">
        <v>99</v>
      </c>
      <c r="E8" s="12">
        <f>99/14</f>
        <v>7.071428571428571</v>
      </c>
      <c r="F8" s="13">
        <v>247</v>
      </c>
      <c r="G8" s="12">
        <f>247/14</f>
        <v>17.642857142857142</v>
      </c>
      <c r="H8" s="13">
        <v>24</v>
      </c>
      <c r="I8" s="12">
        <f>24/14</f>
        <v>1.7142857142857142</v>
      </c>
      <c r="J8" s="9">
        <v>20</v>
      </c>
      <c r="K8" s="12">
        <f>20/14</f>
        <v>1.4285714285714286</v>
      </c>
      <c r="L8" s="9">
        <v>25</v>
      </c>
      <c r="M8" s="11">
        <v>1</v>
      </c>
      <c r="N8" s="11">
        <v>26</v>
      </c>
      <c r="O8" s="15">
        <f>26/14</f>
        <v>1.8571428571428572</v>
      </c>
      <c r="P8" s="9">
        <v>6</v>
      </c>
      <c r="Q8" s="8">
        <v>0</v>
      </c>
      <c r="R8" s="8">
        <v>1</v>
      </c>
    </row>
    <row r="9" spans="1:18" ht="12.75">
      <c r="A9" s="8">
        <v>9</v>
      </c>
      <c r="B9" s="8" t="s">
        <v>39</v>
      </c>
      <c r="C9" s="9">
        <v>18</v>
      </c>
      <c r="D9" s="9">
        <v>204</v>
      </c>
      <c r="E9" s="12">
        <f>204/18</f>
        <v>11.333333333333334</v>
      </c>
      <c r="F9" s="13">
        <v>447</v>
      </c>
      <c r="G9" s="12">
        <f>447/18</f>
        <v>24.833333333333332</v>
      </c>
      <c r="H9" s="13">
        <v>44</v>
      </c>
      <c r="I9" s="12">
        <f>44/18</f>
        <v>2.4444444444444446</v>
      </c>
      <c r="J9" s="9">
        <v>41</v>
      </c>
      <c r="K9" s="12">
        <f>41/18</f>
        <v>2.2777777777777777</v>
      </c>
      <c r="L9" s="9">
        <v>49</v>
      </c>
      <c r="M9" s="11">
        <v>17</v>
      </c>
      <c r="N9" s="11">
        <v>66</v>
      </c>
      <c r="O9" s="12">
        <f>66/18</f>
        <v>3.6666666666666665</v>
      </c>
      <c r="P9" s="9">
        <v>16</v>
      </c>
      <c r="Q9" s="8">
        <v>4</v>
      </c>
      <c r="R9" s="8">
        <v>4</v>
      </c>
    </row>
    <row r="10" spans="1:18" ht="12.75">
      <c r="A10" s="8">
        <v>24</v>
      </c>
      <c r="B10" s="68" t="s">
        <v>62</v>
      </c>
      <c r="C10" s="9">
        <v>15</v>
      </c>
      <c r="D10" s="9">
        <v>81</v>
      </c>
      <c r="E10" s="12">
        <f>81/15</f>
        <v>5.4</v>
      </c>
      <c r="F10" s="13">
        <v>279</v>
      </c>
      <c r="G10" s="12">
        <f>279/15</f>
        <v>18.6</v>
      </c>
      <c r="H10" s="13">
        <v>52</v>
      </c>
      <c r="I10" s="12">
        <f>52/15</f>
        <v>3.466666666666667</v>
      </c>
      <c r="J10" s="9">
        <v>59</v>
      </c>
      <c r="K10" s="12">
        <f>59/15</f>
        <v>3.933333333333333</v>
      </c>
      <c r="L10" s="9">
        <v>22</v>
      </c>
      <c r="M10" s="11">
        <v>9</v>
      </c>
      <c r="N10" s="11">
        <v>31</v>
      </c>
      <c r="O10" s="15">
        <f>31/15</f>
        <v>2.066666666666667</v>
      </c>
      <c r="P10" s="9">
        <v>5</v>
      </c>
      <c r="Q10" s="8">
        <v>0</v>
      </c>
      <c r="R10" s="8">
        <v>2</v>
      </c>
    </row>
    <row r="11" spans="1:18" ht="12.75">
      <c r="A11" s="8">
        <v>15</v>
      </c>
      <c r="B11" s="8" t="s">
        <v>61</v>
      </c>
      <c r="C11" s="9">
        <v>6</v>
      </c>
      <c r="D11" s="9">
        <v>31</v>
      </c>
      <c r="E11" s="12">
        <f>31/6</f>
        <v>5.166666666666667</v>
      </c>
      <c r="F11" s="13">
        <v>138</v>
      </c>
      <c r="G11" s="12">
        <f>138/6</f>
        <v>23</v>
      </c>
      <c r="H11" s="13">
        <v>19</v>
      </c>
      <c r="I11" s="12">
        <f>19/6</f>
        <v>3.1666666666666665</v>
      </c>
      <c r="J11" s="9">
        <v>11</v>
      </c>
      <c r="K11" s="12">
        <f>11/6</f>
        <v>1.8333333333333333</v>
      </c>
      <c r="L11" s="9">
        <v>29</v>
      </c>
      <c r="M11" s="11">
        <v>11</v>
      </c>
      <c r="N11" s="11">
        <v>40</v>
      </c>
      <c r="O11" s="12">
        <f>40/6</f>
        <v>6.666666666666667</v>
      </c>
      <c r="P11" s="9">
        <v>6</v>
      </c>
      <c r="Q11" s="8">
        <v>2</v>
      </c>
      <c r="R11" s="8">
        <v>1</v>
      </c>
    </row>
    <row r="12" spans="1:18" ht="12.75">
      <c r="A12" s="8">
        <v>11</v>
      </c>
      <c r="B12" s="8" t="s">
        <v>69</v>
      </c>
      <c r="C12" s="9">
        <v>6</v>
      </c>
      <c r="D12" s="9">
        <v>6</v>
      </c>
      <c r="E12" s="12">
        <f>6/6</f>
        <v>1</v>
      </c>
      <c r="F12" s="13">
        <v>50</v>
      </c>
      <c r="G12" s="12">
        <f>50/6</f>
        <v>8.333333333333334</v>
      </c>
      <c r="H12" s="13">
        <v>5</v>
      </c>
      <c r="I12" s="12">
        <f>5/6</f>
        <v>0.8333333333333334</v>
      </c>
      <c r="J12" s="9">
        <v>6</v>
      </c>
      <c r="K12" s="12">
        <f>6/6</f>
        <v>1</v>
      </c>
      <c r="L12" s="9">
        <v>5</v>
      </c>
      <c r="M12" s="11">
        <v>1</v>
      </c>
      <c r="N12" s="11">
        <v>6</v>
      </c>
      <c r="O12" s="12">
        <f>6/6</f>
        <v>1</v>
      </c>
      <c r="P12" s="9">
        <v>0</v>
      </c>
      <c r="Q12" s="8">
        <v>0</v>
      </c>
      <c r="R12" s="8">
        <v>2</v>
      </c>
    </row>
    <row r="13" spans="1:18" ht="12.75">
      <c r="A13" s="8">
        <v>16</v>
      </c>
      <c r="B13" s="68" t="s">
        <v>70</v>
      </c>
      <c r="C13" s="9">
        <v>27</v>
      </c>
      <c r="D13" s="9">
        <v>106</v>
      </c>
      <c r="E13" s="12">
        <f>106/27</f>
        <v>3.925925925925926</v>
      </c>
      <c r="F13" s="13">
        <v>396</v>
      </c>
      <c r="G13" s="12">
        <f>396/27</f>
        <v>14.666666666666666</v>
      </c>
      <c r="H13" s="13">
        <v>57</v>
      </c>
      <c r="I13" s="12">
        <f>57/27</f>
        <v>2.111111111111111</v>
      </c>
      <c r="J13" s="9">
        <v>22</v>
      </c>
      <c r="K13" s="12">
        <f>22/27</f>
        <v>0.8148148148148148</v>
      </c>
      <c r="L13" s="9">
        <v>58</v>
      </c>
      <c r="M13" s="11">
        <v>19</v>
      </c>
      <c r="N13" s="11">
        <v>77</v>
      </c>
      <c r="O13" s="12">
        <f>77/27</f>
        <v>2.8518518518518516</v>
      </c>
      <c r="P13" s="9">
        <v>4</v>
      </c>
      <c r="Q13" s="8">
        <v>0</v>
      </c>
      <c r="R13" s="8">
        <v>3</v>
      </c>
    </row>
    <row r="14" spans="1:18" ht="12.75">
      <c r="A14" s="8">
        <v>17</v>
      </c>
      <c r="B14" s="68" t="s">
        <v>71</v>
      </c>
      <c r="C14" s="9">
        <v>29</v>
      </c>
      <c r="D14" s="9">
        <v>180</v>
      </c>
      <c r="E14" s="12">
        <f>180/29</f>
        <v>6.206896551724138</v>
      </c>
      <c r="F14" s="13">
        <v>606</v>
      </c>
      <c r="G14" s="12">
        <f>606/29</f>
        <v>20.896551724137932</v>
      </c>
      <c r="H14" s="13">
        <v>73</v>
      </c>
      <c r="I14" s="12">
        <f>73/29</f>
        <v>2.5172413793103448</v>
      </c>
      <c r="J14" s="9">
        <v>33</v>
      </c>
      <c r="K14" s="12">
        <f>33/29</f>
        <v>1.1379310344827587</v>
      </c>
      <c r="L14" s="9">
        <v>123</v>
      </c>
      <c r="M14" s="11">
        <v>34</v>
      </c>
      <c r="N14" s="11">
        <v>157</v>
      </c>
      <c r="O14" s="12">
        <f>157/29</f>
        <v>5.413793103448276</v>
      </c>
      <c r="P14" s="9">
        <v>7</v>
      </c>
      <c r="Q14" s="8">
        <v>4</v>
      </c>
      <c r="R14" s="8">
        <v>5</v>
      </c>
    </row>
    <row r="15" spans="1:18" ht="12.75">
      <c r="A15" s="8">
        <v>18</v>
      </c>
      <c r="B15" s="21" t="s">
        <v>72</v>
      </c>
      <c r="C15" s="9">
        <v>33</v>
      </c>
      <c r="D15" s="9">
        <v>318</v>
      </c>
      <c r="E15" s="12">
        <f>318/33</f>
        <v>9.636363636363637</v>
      </c>
      <c r="F15" s="13">
        <v>934</v>
      </c>
      <c r="G15" s="12">
        <f>934/33</f>
        <v>28.303030303030305</v>
      </c>
      <c r="H15" s="13">
        <v>101</v>
      </c>
      <c r="I15" s="12">
        <f>101/33</f>
        <v>3.0606060606060606</v>
      </c>
      <c r="J15" s="9">
        <v>110</v>
      </c>
      <c r="K15" s="12">
        <f>110/33</f>
        <v>3.3333333333333335</v>
      </c>
      <c r="L15" s="9">
        <v>112</v>
      </c>
      <c r="M15" s="11">
        <v>96</v>
      </c>
      <c r="N15" s="11">
        <v>208</v>
      </c>
      <c r="O15" s="12">
        <f>208/33</f>
        <v>6.303030303030303</v>
      </c>
      <c r="P15" s="9">
        <v>22</v>
      </c>
      <c r="Q15" s="8">
        <v>3</v>
      </c>
      <c r="R15" s="8">
        <v>11</v>
      </c>
    </row>
    <row r="16" spans="1:18" ht="12.75">
      <c r="A16" s="8">
        <v>5</v>
      </c>
      <c r="B16" s="21" t="s">
        <v>95</v>
      </c>
      <c r="C16" s="9">
        <v>18</v>
      </c>
      <c r="D16" s="9">
        <v>58</v>
      </c>
      <c r="E16" s="12">
        <f>58/18</f>
        <v>3.2222222222222223</v>
      </c>
      <c r="F16" s="13">
        <v>152</v>
      </c>
      <c r="G16" s="12">
        <f>152/18</f>
        <v>8.444444444444445</v>
      </c>
      <c r="H16" s="13">
        <v>28</v>
      </c>
      <c r="I16" s="12">
        <f>28/18</f>
        <v>1.5555555555555556</v>
      </c>
      <c r="J16" s="9">
        <v>13</v>
      </c>
      <c r="K16" s="12">
        <f>13/18</f>
        <v>0.7222222222222222</v>
      </c>
      <c r="L16" s="9">
        <v>10</v>
      </c>
      <c r="M16" s="11">
        <v>6</v>
      </c>
      <c r="N16" s="11">
        <v>16</v>
      </c>
      <c r="O16" s="12">
        <f>16/18</f>
        <v>0.8888888888888888</v>
      </c>
      <c r="P16" s="9">
        <v>2</v>
      </c>
      <c r="Q16" s="8">
        <v>0</v>
      </c>
      <c r="R16" s="8">
        <v>0</v>
      </c>
    </row>
    <row r="17" spans="1:18" ht="12.75">
      <c r="A17" s="8">
        <v>10</v>
      </c>
      <c r="B17" s="21" t="s">
        <v>101</v>
      </c>
      <c r="C17" s="9">
        <v>6</v>
      </c>
      <c r="D17" s="9">
        <v>18</v>
      </c>
      <c r="E17" s="12">
        <f>18/6</f>
        <v>3</v>
      </c>
      <c r="F17" s="13">
        <v>62</v>
      </c>
      <c r="G17" s="12">
        <f>62/6</f>
        <v>10.333333333333334</v>
      </c>
      <c r="H17" s="13">
        <v>5</v>
      </c>
      <c r="I17" s="12">
        <f>5/6</f>
        <v>0.8333333333333334</v>
      </c>
      <c r="J17" s="9">
        <v>4</v>
      </c>
      <c r="K17" s="12">
        <f>4/6</f>
        <v>0.6666666666666666</v>
      </c>
      <c r="L17" s="9">
        <v>8</v>
      </c>
      <c r="M17" s="11">
        <v>6</v>
      </c>
      <c r="N17" s="11">
        <v>14</v>
      </c>
      <c r="O17" s="12">
        <f>14/6</f>
        <v>2.3333333333333335</v>
      </c>
      <c r="P17" s="9">
        <v>1</v>
      </c>
      <c r="Q17" s="8">
        <v>0</v>
      </c>
      <c r="R17" s="8">
        <v>4</v>
      </c>
    </row>
    <row r="18" spans="1:18" ht="12.75">
      <c r="A18" s="8"/>
      <c r="B18" s="8"/>
      <c r="C18" s="9"/>
      <c r="D18" s="9"/>
      <c r="E18" s="9"/>
      <c r="F18" s="13"/>
      <c r="G18" s="9"/>
      <c r="H18" s="9"/>
      <c r="I18" s="9"/>
      <c r="J18" s="8"/>
      <c r="K18" s="19"/>
      <c r="L18" s="8"/>
      <c r="M18" s="20"/>
      <c r="N18" s="19"/>
      <c r="Q18" s="8"/>
      <c r="R18" s="8"/>
    </row>
    <row r="19" spans="1:18" ht="12.75">
      <c r="A19" s="4" t="s">
        <v>14</v>
      </c>
      <c r="B19" s="4" t="s">
        <v>15</v>
      </c>
      <c r="C19" s="4" t="s">
        <v>28</v>
      </c>
      <c r="D19" s="4" t="s">
        <v>29</v>
      </c>
      <c r="E19" s="4" t="s">
        <v>30</v>
      </c>
      <c r="F19" s="4" t="s">
        <v>2</v>
      </c>
      <c r="G19" s="4" t="s">
        <v>3</v>
      </c>
      <c r="H19" s="4" t="s">
        <v>4</v>
      </c>
      <c r="I19" s="4" t="s">
        <v>8</v>
      </c>
      <c r="J19" s="4" t="s">
        <v>25</v>
      </c>
      <c r="K19" s="5" t="s">
        <v>31</v>
      </c>
      <c r="L19" s="4" t="s">
        <v>25</v>
      </c>
      <c r="M19" s="22" t="s">
        <v>32</v>
      </c>
      <c r="N19" s="23"/>
      <c r="O19" s="7" t="s">
        <v>33</v>
      </c>
      <c r="P19" s="24" t="s">
        <v>25</v>
      </c>
      <c r="Q19" s="8" t="s">
        <v>49</v>
      </c>
      <c r="R19" s="8" t="s">
        <v>48</v>
      </c>
    </row>
    <row r="20" spans="1:18" ht="12.75">
      <c r="A20" s="8">
        <v>6</v>
      </c>
      <c r="B20" s="8" t="s">
        <v>50</v>
      </c>
      <c r="C20" s="16" t="s">
        <v>153</v>
      </c>
      <c r="D20" s="27">
        <f>50/65</f>
        <v>0.7692307692307693</v>
      </c>
      <c r="E20" s="16" t="s">
        <v>154</v>
      </c>
      <c r="F20" s="27">
        <f>39/86</f>
        <v>0.45348837209302323</v>
      </c>
      <c r="G20" s="16" t="s">
        <v>155</v>
      </c>
      <c r="H20" s="27">
        <f>8/32</f>
        <v>0.25</v>
      </c>
      <c r="I20" s="17">
        <v>70</v>
      </c>
      <c r="J20" s="28">
        <f>70/24</f>
        <v>2.9166666666666665</v>
      </c>
      <c r="K20" s="29">
        <v>91</v>
      </c>
      <c r="L20" s="28">
        <f>91/24</f>
        <v>3.7916666666666665</v>
      </c>
      <c r="M20" s="30"/>
      <c r="N20" s="31">
        <v>21</v>
      </c>
      <c r="O20" s="1">
        <v>264</v>
      </c>
      <c r="P20" s="25">
        <f>264/24</f>
        <v>11</v>
      </c>
      <c r="Q20" s="1">
        <v>0</v>
      </c>
      <c r="R20">
        <v>0</v>
      </c>
    </row>
    <row r="21" spans="1:18" ht="12.75">
      <c r="A21" s="8">
        <v>4</v>
      </c>
      <c r="B21" s="8" t="s">
        <v>67</v>
      </c>
      <c r="C21" s="13" t="s">
        <v>150</v>
      </c>
      <c r="D21" s="18">
        <f>99/134</f>
        <v>0.7388059701492538</v>
      </c>
      <c r="E21" s="13" t="s">
        <v>151</v>
      </c>
      <c r="F21" s="18">
        <f>59/129</f>
        <v>0.4573643410852713</v>
      </c>
      <c r="G21" s="13" t="s">
        <v>152</v>
      </c>
      <c r="H21" s="18">
        <f>37/143</f>
        <v>0.25874125874125875</v>
      </c>
      <c r="I21" s="9">
        <v>102</v>
      </c>
      <c r="J21" s="12">
        <f>103/33</f>
        <v>3.121212121212121</v>
      </c>
      <c r="K21" s="11">
        <v>66</v>
      </c>
      <c r="L21" s="12">
        <f>66/33</f>
        <v>2</v>
      </c>
      <c r="M21" s="25"/>
      <c r="N21" s="26">
        <v>-36</v>
      </c>
      <c r="O21" s="1">
        <v>251</v>
      </c>
      <c r="P21" s="25">
        <f>251/33</f>
        <v>7.606060606060606</v>
      </c>
      <c r="Q21" s="1">
        <v>3</v>
      </c>
      <c r="R21">
        <v>0</v>
      </c>
    </row>
    <row r="22" spans="1:18" ht="12.75">
      <c r="A22" s="8">
        <v>12</v>
      </c>
      <c r="B22" s="8" t="s">
        <v>68</v>
      </c>
      <c r="C22" s="13" t="s">
        <v>136</v>
      </c>
      <c r="D22" s="18">
        <f>3/7</f>
        <v>0.42857142857142855</v>
      </c>
      <c r="E22" s="13" t="s">
        <v>137</v>
      </c>
      <c r="F22" s="18">
        <f>7/22</f>
        <v>0.3181818181818182</v>
      </c>
      <c r="G22" s="13" t="s">
        <v>138</v>
      </c>
      <c r="H22" s="18">
        <f>3/21</f>
        <v>0.14285714285714285</v>
      </c>
      <c r="I22" s="9">
        <v>8</v>
      </c>
      <c r="J22" s="12">
        <f>8/19</f>
        <v>0.42105263157894735</v>
      </c>
      <c r="K22" s="11">
        <v>23</v>
      </c>
      <c r="L22" s="12">
        <f>23/19</f>
        <v>1.2105263157894737</v>
      </c>
      <c r="M22" s="25"/>
      <c r="N22" s="26">
        <v>15</v>
      </c>
      <c r="O22" s="1">
        <v>18</v>
      </c>
      <c r="P22" s="25">
        <f>18/19</f>
        <v>0.9473684210526315</v>
      </c>
      <c r="Q22" s="1">
        <v>0</v>
      </c>
      <c r="R22">
        <v>0</v>
      </c>
    </row>
    <row r="23" spans="1:18" ht="12.75">
      <c r="A23" s="8">
        <v>13</v>
      </c>
      <c r="B23" s="8" t="s">
        <v>52</v>
      </c>
      <c r="C23" s="13" t="s">
        <v>77</v>
      </c>
      <c r="D23" s="18">
        <f>1/1</f>
        <v>1</v>
      </c>
      <c r="E23" s="16" t="s">
        <v>78</v>
      </c>
      <c r="F23" s="18">
        <f>5/11</f>
        <v>0.45454545454545453</v>
      </c>
      <c r="G23" s="13" t="s">
        <v>79</v>
      </c>
      <c r="H23" s="18">
        <f>0/3</f>
        <v>0</v>
      </c>
      <c r="I23" s="9">
        <v>8</v>
      </c>
      <c r="J23" s="12">
        <f>8/5</f>
        <v>1.6</v>
      </c>
      <c r="K23" s="11">
        <v>6</v>
      </c>
      <c r="L23" s="12">
        <f>6/5</f>
        <v>1.2</v>
      </c>
      <c r="M23" s="25"/>
      <c r="N23" s="26">
        <v>-2</v>
      </c>
      <c r="O23" s="3">
        <v>6</v>
      </c>
      <c r="P23" s="25">
        <f>6/5</f>
        <v>1.2</v>
      </c>
      <c r="Q23" s="3">
        <v>0</v>
      </c>
      <c r="R23">
        <v>0</v>
      </c>
    </row>
    <row r="24" spans="1:18" ht="12.75">
      <c r="A24" s="8">
        <v>7</v>
      </c>
      <c r="B24" s="8" t="s">
        <v>27</v>
      </c>
      <c r="C24" s="13" t="s">
        <v>159</v>
      </c>
      <c r="D24" s="18">
        <f>27/37</f>
        <v>0.7297297297297297</v>
      </c>
      <c r="E24" s="13" t="s">
        <v>160</v>
      </c>
      <c r="F24" s="18">
        <f>46/100</f>
        <v>0.46</v>
      </c>
      <c r="G24" s="13" t="s">
        <v>161</v>
      </c>
      <c r="H24" s="18">
        <f>55/172</f>
        <v>0.31976744186046513</v>
      </c>
      <c r="I24" s="9">
        <v>36</v>
      </c>
      <c r="J24" s="12">
        <f>36/26</f>
        <v>1.3846153846153846</v>
      </c>
      <c r="K24" s="11">
        <v>37</v>
      </c>
      <c r="L24" s="12">
        <f>37/26</f>
        <v>1.4230769230769231</v>
      </c>
      <c r="M24" s="25"/>
      <c r="N24" s="26">
        <v>1</v>
      </c>
      <c r="O24" s="3">
        <v>126</v>
      </c>
      <c r="P24" s="25">
        <f>126/26</f>
        <v>4.846153846153846</v>
      </c>
      <c r="Q24" s="3">
        <v>1</v>
      </c>
      <c r="R24">
        <v>0</v>
      </c>
    </row>
    <row r="25" spans="1:18" ht="12.75">
      <c r="A25" s="8">
        <v>8</v>
      </c>
      <c r="B25" s="8" t="s">
        <v>38</v>
      </c>
      <c r="C25" s="13" t="s">
        <v>157</v>
      </c>
      <c r="D25" s="18">
        <f>71/125</f>
        <v>0.568</v>
      </c>
      <c r="E25" s="13" t="s">
        <v>158</v>
      </c>
      <c r="F25" s="18">
        <f>100/272</f>
        <v>0.36764705882352944</v>
      </c>
      <c r="G25" s="13" t="s">
        <v>139</v>
      </c>
      <c r="H25" s="18">
        <f>1/7</f>
        <v>0.14285714285714285</v>
      </c>
      <c r="I25" s="9">
        <v>73</v>
      </c>
      <c r="J25" s="12">
        <f>73/33</f>
        <v>2.212121212121212</v>
      </c>
      <c r="K25" s="11">
        <v>91</v>
      </c>
      <c r="L25" s="12">
        <f>91/33</f>
        <v>2.757575757575758</v>
      </c>
      <c r="M25" s="25"/>
      <c r="N25" s="26">
        <v>18</v>
      </c>
      <c r="O25" s="3">
        <v>183</v>
      </c>
      <c r="P25" s="25">
        <f>183/33</f>
        <v>5.545454545454546</v>
      </c>
      <c r="Q25" s="3">
        <v>2</v>
      </c>
      <c r="R25">
        <v>0</v>
      </c>
    </row>
    <row r="26" spans="1:18" ht="12.75">
      <c r="A26" s="8">
        <v>14</v>
      </c>
      <c r="B26" s="8" t="s">
        <v>51</v>
      </c>
      <c r="C26" s="13" t="s">
        <v>162</v>
      </c>
      <c r="D26" s="18">
        <f>15/20</f>
        <v>0.75</v>
      </c>
      <c r="E26" s="13" t="s">
        <v>163</v>
      </c>
      <c r="F26" s="18">
        <f>9/21</f>
        <v>0.42857142857142855</v>
      </c>
      <c r="G26" s="13" t="s">
        <v>164</v>
      </c>
      <c r="H26" s="18">
        <f>22/61</f>
        <v>0.36065573770491804</v>
      </c>
      <c r="I26" s="9">
        <v>12</v>
      </c>
      <c r="J26" s="12">
        <f>12/14</f>
        <v>0.8571428571428571</v>
      </c>
      <c r="K26" s="11">
        <v>11</v>
      </c>
      <c r="L26" s="12">
        <f>11/14</f>
        <v>0.7857142857142857</v>
      </c>
      <c r="M26" s="25"/>
      <c r="N26" s="26">
        <v>-1</v>
      </c>
      <c r="O26" s="3">
        <v>71</v>
      </c>
      <c r="P26" s="25">
        <f>71/14</f>
        <v>5.071428571428571</v>
      </c>
      <c r="Q26" s="3">
        <v>0</v>
      </c>
      <c r="R26">
        <v>0</v>
      </c>
    </row>
    <row r="27" spans="1:18" ht="12.75">
      <c r="A27" s="8">
        <v>9</v>
      </c>
      <c r="B27" s="8" t="s">
        <v>39</v>
      </c>
      <c r="C27" s="13" t="s">
        <v>165</v>
      </c>
      <c r="D27" s="18">
        <f>38/55</f>
        <v>0.6909090909090909</v>
      </c>
      <c r="E27" s="13" t="s">
        <v>166</v>
      </c>
      <c r="F27" s="18">
        <f>44/100</f>
        <v>0.44</v>
      </c>
      <c r="G27" s="13" t="s">
        <v>167</v>
      </c>
      <c r="H27" s="18">
        <f>26/74</f>
        <v>0.35135135135135137</v>
      </c>
      <c r="I27" s="9">
        <v>38</v>
      </c>
      <c r="J27" s="12">
        <f>38/18</f>
        <v>2.111111111111111</v>
      </c>
      <c r="K27" s="11">
        <v>43</v>
      </c>
      <c r="L27" s="12">
        <f>43/18</f>
        <v>2.388888888888889</v>
      </c>
      <c r="M27" s="25"/>
      <c r="N27" s="26">
        <v>5</v>
      </c>
      <c r="O27" s="3">
        <v>166</v>
      </c>
      <c r="P27" s="25">
        <f>166/18</f>
        <v>9.222222222222221</v>
      </c>
      <c r="Q27" s="3">
        <v>0</v>
      </c>
      <c r="R27">
        <v>0</v>
      </c>
    </row>
    <row r="28" spans="1:18" ht="12.75">
      <c r="A28" s="8">
        <v>24</v>
      </c>
      <c r="B28" s="68" t="s">
        <v>62</v>
      </c>
      <c r="C28" s="13" t="s">
        <v>102</v>
      </c>
      <c r="D28" s="18">
        <f>39/63</f>
        <v>0.6190476190476191</v>
      </c>
      <c r="E28" s="13" t="s">
        <v>103</v>
      </c>
      <c r="F28" s="18">
        <f>15/55</f>
        <v>0.2727272727272727</v>
      </c>
      <c r="G28" s="13" t="s">
        <v>104</v>
      </c>
      <c r="H28" s="18">
        <f>2/16</f>
        <v>0.125</v>
      </c>
      <c r="I28" s="9">
        <v>25</v>
      </c>
      <c r="J28" s="12">
        <f>25/15</f>
        <v>1.6666666666666667</v>
      </c>
      <c r="K28" s="11">
        <v>23</v>
      </c>
      <c r="L28" s="12">
        <f>23/15</f>
        <v>1.5333333333333334</v>
      </c>
      <c r="M28" s="25"/>
      <c r="N28" s="26">
        <v>-2</v>
      </c>
      <c r="O28" s="3">
        <v>46</v>
      </c>
      <c r="P28" s="25">
        <f>46/15</f>
        <v>3.066666666666667</v>
      </c>
      <c r="Q28" s="3">
        <v>1</v>
      </c>
      <c r="R28">
        <v>1</v>
      </c>
    </row>
    <row r="29" spans="1:18" ht="12.75">
      <c r="A29" s="8">
        <v>15</v>
      </c>
      <c r="B29" s="8" t="s">
        <v>61</v>
      </c>
      <c r="C29" s="13" t="s">
        <v>97</v>
      </c>
      <c r="D29" s="18">
        <f>9/13</f>
        <v>0.6923076923076923</v>
      </c>
      <c r="E29" s="13" t="s">
        <v>98</v>
      </c>
      <c r="F29" s="18">
        <f>11/25</f>
        <v>0.44</v>
      </c>
      <c r="G29" s="13" t="s">
        <v>81</v>
      </c>
      <c r="H29" s="18">
        <v>0</v>
      </c>
      <c r="I29" s="9">
        <v>13</v>
      </c>
      <c r="J29" s="12">
        <f>13/6</f>
        <v>2.1666666666666665</v>
      </c>
      <c r="K29" s="11">
        <v>18</v>
      </c>
      <c r="L29" s="12">
        <f>18/6</f>
        <v>3</v>
      </c>
      <c r="M29" s="25"/>
      <c r="N29" s="26">
        <v>5</v>
      </c>
      <c r="O29" s="3">
        <v>57</v>
      </c>
      <c r="P29" s="25">
        <f>57/6</f>
        <v>9.5</v>
      </c>
      <c r="Q29" s="3">
        <v>0</v>
      </c>
      <c r="R29">
        <v>0</v>
      </c>
    </row>
    <row r="30" spans="1:18" ht="12.75">
      <c r="A30" s="8">
        <v>11</v>
      </c>
      <c r="B30" s="8" t="s">
        <v>69</v>
      </c>
      <c r="C30" s="13" t="s">
        <v>96</v>
      </c>
      <c r="D30" s="18">
        <f>4/6</f>
        <v>0.6666666666666666</v>
      </c>
      <c r="E30" s="13" t="s">
        <v>139</v>
      </c>
      <c r="F30" s="18">
        <f>1/7</f>
        <v>0.14285714285714285</v>
      </c>
      <c r="G30" s="13" t="s">
        <v>80</v>
      </c>
      <c r="H30" s="18">
        <f>0/1</f>
        <v>0</v>
      </c>
      <c r="I30" s="9">
        <v>1</v>
      </c>
      <c r="J30" s="12">
        <f>1/6</f>
        <v>0.16666666666666666</v>
      </c>
      <c r="K30" s="11">
        <v>1</v>
      </c>
      <c r="L30" s="12">
        <f>1/6</f>
        <v>0.16666666666666666</v>
      </c>
      <c r="M30" s="25"/>
      <c r="N30" s="26">
        <v>0</v>
      </c>
      <c r="O30" s="3">
        <v>2</v>
      </c>
      <c r="P30" s="25">
        <f>2/6</f>
        <v>0.3333333333333333</v>
      </c>
      <c r="Q30" s="3">
        <v>0</v>
      </c>
      <c r="R30">
        <v>0</v>
      </c>
    </row>
    <row r="31" spans="1:18" ht="12.75">
      <c r="A31" s="8">
        <v>16</v>
      </c>
      <c r="B31" s="68" t="s">
        <v>70</v>
      </c>
      <c r="C31" s="13" t="s">
        <v>168</v>
      </c>
      <c r="D31" s="18">
        <f>14/28</f>
        <v>0.5</v>
      </c>
      <c r="E31" s="13" t="s">
        <v>169</v>
      </c>
      <c r="F31" s="18">
        <f>28/61</f>
        <v>0.45901639344262296</v>
      </c>
      <c r="G31" s="13" t="s">
        <v>170</v>
      </c>
      <c r="H31" s="18">
        <f>12/40</f>
        <v>0.3</v>
      </c>
      <c r="I31" s="9">
        <v>26</v>
      </c>
      <c r="J31" s="12">
        <f>26/27</f>
        <v>0.9629629629629629</v>
      </c>
      <c r="K31" s="11">
        <v>33</v>
      </c>
      <c r="L31" s="12">
        <f>33/27</f>
        <v>1.2222222222222223</v>
      </c>
      <c r="M31" s="25"/>
      <c r="N31" s="26">
        <v>7</v>
      </c>
      <c r="O31" s="3">
        <v>84</v>
      </c>
      <c r="P31" s="25">
        <f>84/27</f>
        <v>3.111111111111111</v>
      </c>
      <c r="Q31" s="3">
        <v>0</v>
      </c>
      <c r="R31">
        <v>0</v>
      </c>
    </row>
    <row r="32" spans="1:18" ht="12.75">
      <c r="A32" s="8">
        <v>17</v>
      </c>
      <c r="B32" s="68" t="s">
        <v>71</v>
      </c>
      <c r="C32" s="13" t="s">
        <v>171</v>
      </c>
      <c r="D32" s="18">
        <f>22/35</f>
        <v>0.6285714285714286</v>
      </c>
      <c r="E32" s="13" t="s">
        <v>172</v>
      </c>
      <c r="F32" s="18">
        <f>79/168</f>
        <v>0.47023809523809523</v>
      </c>
      <c r="G32" s="13" t="s">
        <v>81</v>
      </c>
      <c r="H32" s="18">
        <v>0</v>
      </c>
      <c r="I32" s="9">
        <v>51</v>
      </c>
      <c r="J32" s="12">
        <f>51/29</f>
        <v>1.7586206896551724</v>
      </c>
      <c r="K32" s="11">
        <v>45</v>
      </c>
      <c r="L32" s="12">
        <f>45/29</f>
        <v>1.5517241379310345</v>
      </c>
      <c r="M32" s="25"/>
      <c r="N32" s="26">
        <v>-6</v>
      </c>
      <c r="O32" s="3">
        <v>194</v>
      </c>
      <c r="P32" s="25">
        <f>194/29</f>
        <v>6.689655172413793</v>
      </c>
      <c r="Q32" s="3">
        <v>0</v>
      </c>
      <c r="R32">
        <v>0</v>
      </c>
    </row>
    <row r="33" spans="1:18" ht="12.75">
      <c r="A33" s="8">
        <v>18</v>
      </c>
      <c r="B33" s="21" t="s">
        <v>72</v>
      </c>
      <c r="C33" s="13" t="s">
        <v>173</v>
      </c>
      <c r="D33" s="18">
        <f>61/133</f>
        <v>0.45864661654135336</v>
      </c>
      <c r="E33" s="13" t="s">
        <v>174</v>
      </c>
      <c r="F33" s="18">
        <f>127/237</f>
        <v>0.5358649789029536</v>
      </c>
      <c r="G33" s="13" t="s">
        <v>105</v>
      </c>
      <c r="H33" s="18">
        <f>1/2</f>
        <v>0.5</v>
      </c>
      <c r="I33" s="9">
        <v>67</v>
      </c>
      <c r="J33" s="12">
        <f>67/33</f>
        <v>2.0303030303030303</v>
      </c>
      <c r="K33" s="11">
        <v>96</v>
      </c>
      <c r="L33" s="12">
        <f>96/33</f>
        <v>2.909090909090909</v>
      </c>
      <c r="M33" s="25"/>
      <c r="N33" s="26">
        <v>29</v>
      </c>
      <c r="O33" s="3">
        <v>401</v>
      </c>
      <c r="P33" s="25">
        <f>401/33</f>
        <v>12.151515151515152</v>
      </c>
      <c r="Q33" s="3">
        <v>1</v>
      </c>
      <c r="R33">
        <v>0</v>
      </c>
    </row>
    <row r="34" spans="1:18" ht="12.75">
      <c r="A34" s="8">
        <v>5</v>
      </c>
      <c r="B34" s="21" t="s">
        <v>95</v>
      </c>
      <c r="C34" s="13" t="s">
        <v>141</v>
      </c>
      <c r="D34" s="18">
        <f>9/14</f>
        <v>0.6428571428571429</v>
      </c>
      <c r="E34" s="13" t="s">
        <v>142</v>
      </c>
      <c r="F34" s="18">
        <f>8/12</f>
        <v>0.6666666666666666</v>
      </c>
      <c r="G34" s="13" t="s">
        <v>156</v>
      </c>
      <c r="H34" s="18">
        <f>11/33</f>
        <v>0.3333333333333333</v>
      </c>
      <c r="I34" s="9">
        <v>17</v>
      </c>
      <c r="J34" s="12">
        <f>17/18</f>
        <v>0.9444444444444444</v>
      </c>
      <c r="K34" s="11">
        <v>11</v>
      </c>
      <c r="L34" s="12">
        <f>11/18</f>
        <v>0.6111111111111112</v>
      </c>
      <c r="M34" s="25"/>
      <c r="N34" s="26">
        <v>-6</v>
      </c>
      <c r="O34" s="3">
        <v>26</v>
      </c>
      <c r="P34" s="25">
        <f>26/18</f>
        <v>1.4444444444444444</v>
      </c>
      <c r="Q34" s="3">
        <v>0</v>
      </c>
      <c r="R34">
        <v>1</v>
      </c>
    </row>
    <row r="35" spans="1:18" ht="12.75">
      <c r="A35" s="8">
        <v>10</v>
      </c>
      <c r="B35" s="21" t="s">
        <v>101</v>
      </c>
      <c r="C35" s="13" t="s">
        <v>96</v>
      </c>
      <c r="D35" s="18">
        <f>4/6</f>
        <v>0.6666666666666666</v>
      </c>
      <c r="E35" s="13" t="s">
        <v>140</v>
      </c>
      <c r="F35" s="18">
        <f>7/14</f>
        <v>0.5</v>
      </c>
      <c r="G35" s="13" t="s">
        <v>81</v>
      </c>
      <c r="H35" s="18">
        <v>0</v>
      </c>
      <c r="I35" s="9">
        <v>5</v>
      </c>
      <c r="J35" s="12">
        <f>5/6</f>
        <v>0.8333333333333334</v>
      </c>
      <c r="K35" s="11">
        <v>2</v>
      </c>
      <c r="L35" s="12">
        <f>2/6</f>
        <v>0.3333333333333333</v>
      </c>
      <c r="M35" s="25"/>
      <c r="N35" s="26">
        <v>-3</v>
      </c>
      <c r="O35" s="3">
        <v>16</v>
      </c>
      <c r="P35" s="25">
        <f>16/6</f>
        <v>2.6666666666666665</v>
      </c>
      <c r="Q35" s="3">
        <v>0</v>
      </c>
      <c r="R35">
        <v>0</v>
      </c>
    </row>
    <row r="36" spans="1:17" ht="12.75">
      <c r="A36" s="8"/>
      <c r="B36" s="8"/>
      <c r="C36" s="13"/>
      <c r="D36" s="18"/>
      <c r="E36" s="13"/>
      <c r="F36" s="18"/>
      <c r="G36" s="13"/>
      <c r="H36" s="18"/>
      <c r="I36" s="9"/>
      <c r="J36" s="12"/>
      <c r="K36" s="11"/>
      <c r="L36" s="12"/>
      <c r="M36" s="12"/>
      <c r="N36" s="32"/>
      <c r="O36" s="42"/>
      <c r="P36" s="25"/>
      <c r="Q36" s="1"/>
    </row>
    <row r="37" spans="1:17" ht="12.75">
      <c r="A37" s="8"/>
      <c r="B37" s="21"/>
      <c r="C37" s="13"/>
      <c r="D37" s="18"/>
      <c r="E37" s="13"/>
      <c r="F37" s="18"/>
      <c r="G37" s="13"/>
      <c r="H37" s="33"/>
      <c r="I37" s="13"/>
      <c r="J37" s="12"/>
      <c r="K37" s="14"/>
      <c r="L37" s="12"/>
      <c r="M37" s="12"/>
      <c r="N37" s="32"/>
      <c r="O37" s="42"/>
      <c r="P37" s="25"/>
      <c r="Q37" s="1"/>
    </row>
    <row r="38" spans="1:17" ht="12.75">
      <c r="A38" s="8"/>
      <c r="B38" s="8"/>
      <c r="C38" s="13"/>
      <c r="D38" s="18"/>
      <c r="E38" s="13"/>
      <c r="F38" s="18"/>
      <c r="G38" s="13"/>
      <c r="H38" s="18"/>
      <c r="I38" s="9"/>
      <c r="J38" s="12"/>
      <c r="K38" s="11"/>
      <c r="L38" s="12"/>
      <c r="M38" s="12"/>
      <c r="N38" s="32"/>
      <c r="O38" s="1"/>
      <c r="P38" s="25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2013-06-01T17:12:40Z</cp:lastPrinted>
  <dcterms:created xsi:type="dcterms:W3CDTF">2007-11-12T19:51:33Z</dcterms:created>
  <dcterms:modified xsi:type="dcterms:W3CDTF">2013-06-01T17:12:44Z</dcterms:modified>
  <cp:category/>
  <cp:version/>
  <cp:contentType/>
  <cp:contentStatus/>
</cp:coreProperties>
</file>